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730" tabRatio="749" activeTab="3"/>
  </bookViews>
  <sheets>
    <sheet name="Параметры ПФ" sheetId="8" r:id="rId1"/>
    <sheet name="Стандартные программы" sheetId="5" r:id="rId2"/>
    <sheet name="Дистанционные программы" sheetId="9" r:id="rId3"/>
    <sheet name="Очно-заочные программы" sheetId="10" r:id="rId4"/>
    <sheet name="Адаптированные программы" sheetId="11" r:id="rId5"/>
  </sheets>
  <externalReferences>
    <externalReference r:id="rId6"/>
    <externalReference r:id="rId7"/>
  </externalReferences>
  <definedNames>
    <definedName name="_xlnm._FilterDatabase" localSheetId="4" hidden="1">'Адаптированные программы'!$A$1:$N$39</definedName>
    <definedName name="_xlnm._FilterDatabase" localSheetId="2" hidden="1">'Дистанционные программы'!$A$1:$N$39</definedName>
    <definedName name="_xlnm._FilterDatabase" localSheetId="3" hidden="1">'Очно-заочные программы'!$A$1:$N$39</definedName>
    <definedName name="_xlnm._FilterDatabase" localSheetId="1" hidden="1">'Стандартные программы'!$A$1:$N$36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8" l="1"/>
  <c r="O3" i="8"/>
  <c r="P3" i="8"/>
  <c r="N3" i="8"/>
  <c r="F9" i="8"/>
  <c r="G39" i="11"/>
  <c r="G39" i="10"/>
  <c r="G39" i="9"/>
  <c r="F17" i="8" l="1"/>
  <c r="G17" i="8"/>
  <c r="I17" i="8"/>
  <c r="J17" i="8"/>
  <c r="K17" i="8"/>
  <c r="G9" i="8" l="1"/>
  <c r="H9" i="8"/>
  <c r="H10" i="8" s="1"/>
  <c r="I9" i="8"/>
  <c r="J9" i="8"/>
  <c r="K9" i="8"/>
  <c r="K10" i="8" s="1"/>
  <c r="F11" i="8"/>
  <c r="G11" i="8"/>
  <c r="H11" i="8"/>
  <c r="I11" i="8"/>
  <c r="J11" i="8"/>
  <c r="K11" i="8"/>
  <c r="F12" i="8"/>
  <c r="G12" i="8"/>
  <c r="H12" i="8"/>
  <c r="I12" i="8"/>
  <c r="J12" i="8"/>
  <c r="K12" i="8"/>
  <c r="F13" i="8"/>
  <c r="G13" i="8"/>
  <c r="H13" i="8"/>
  <c r="I13" i="8"/>
  <c r="J13" i="8"/>
  <c r="K13" i="8"/>
  <c r="G10" i="8" l="1"/>
  <c r="G8" i="8" s="1"/>
  <c r="H15" i="8"/>
  <c r="I15" i="8"/>
  <c r="K14" i="8"/>
  <c r="G14" i="8"/>
  <c r="J14" i="8"/>
  <c r="K15" i="8"/>
  <c r="G15" i="8"/>
  <c r="I14" i="8"/>
  <c r="F14" i="8"/>
  <c r="J15" i="8"/>
  <c r="F15" i="8"/>
  <c r="H14" i="8"/>
  <c r="K8" i="8"/>
  <c r="H8" i="8"/>
  <c r="J10" i="8"/>
  <c r="J8" i="8" s="1"/>
  <c r="F10" i="8"/>
  <c r="F8" i="8" s="1"/>
  <c r="I10" i="8"/>
  <c r="I8" i="8" s="1"/>
  <c r="I2" i="5" l="1"/>
  <c r="I3" i="5"/>
  <c r="I7" i="5"/>
  <c r="I4" i="5"/>
  <c r="I6" i="5"/>
  <c r="I5" i="5"/>
  <c r="O15" i="8"/>
  <c r="O17" i="8" s="1"/>
  <c r="N15" i="8"/>
  <c r="N17" i="8" s="1"/>
  <c r="P15" i="8"/>
  <c r="P17" i="8" s="1"/>
  <c r="I2" i="10"/>
  <c r="J6" i="5"/>
  <c r="J7" i="5"/>
  <c r="P10" i="8"/>
  <c r="P12" i="8" s="1"/>
  <c r="I20" i="9"/>
  <c r="O5" i="8"/>
  <c r="O7" i="8" s="1"/>
  <c r="N5" i="8"/>
  <c r="N7" i="8" s="1"/>
  <c r="I15" i="5"/>
  <c r="I17" i="5"/>
  <c r="I21" i="5"/>
  <c r="I25" i="5"/>
  <c r="I29" i="5"/>
  <c r="I33" i="5"/>
  <c r="I23" i="5"/>
  <c r="I27" i="5"/>
  <c r="I12" i="5"/>
  <c r="I16" i="5"/>
  <c r="I18" i="5"/>
  <c r="I22" i="5"/>
  <c r="I26" i="5"/>
  <c r="I30" i="5"/>
  <c r="I34" i="5"/>
  <c r="I13" i="5"/>
  <c r="I19" i="5"/>
  <c r="I35" i="5"/>
  <c r="I14" i="5"/>
  <c r="I20" i="5"/>
  <c r="I24" i="5"/>
  <c r="I28" i="5"/>
  <c r="I32" i="5"/>
  <c r="I31" i="5"/>
  <c r="J4" i="5"/>
  <c r="J3" i="5"/>
  <c r="P5" i="8"/>
  <c r="P7" i="8" s="1"/>
  <c r="P19" i="8" l="1"/>
  <c r="I26" i="10"/>
  <c r="J26" i="10" s="1"/>
  <c r="I7" i="10"/>
  <c r="J7" i="10" s="1"/>
  <c r="I23" i="10"/>
  <c r="J23" i="10" s="1"/>
  <c r="I17" i="11"/>
  <c r="J17" i="11" s="1"/>
  <c r="I11" i="11"/>
  <c r="J11" i="11" s="1"/>
  <c r="I4" i="10"/>
  <c r="J4" i="10" s="1"/>
  <c r="I21" i="11"/>
  <c r="J21" i="11" s="1"/>
  <c r="I8" i="11"/>
  <c r="J8" i="11" s="1"/>
  <c r="I27" i="11"/>
  <c r="J27" i="11" s="1"/>
  <c r="I13" i="10"/>
  <c r="J13" i="10" s="1"/>
  <c r="I25" i="11"/>
  <c r="J25" i="11" s="1"/>
  <c r="I32" i="10"/>
  <c r="J32" i="10" s="1"/>
  <c r="I24" i="11"/>
  <c r="J24" i="11" s="1"/>
  <c r="I10" i="10"/>
  <c r="I29" i="10"/>
  <c r="J29" i="10" s="1"/>
  <c r="I26" i="11"/>
  <c r="J26" i="11" s="1"/>
  <c r="M6" i="5"/>
  <c r="K6" i="5"/>
  <c r="I9" i="11"/>
  <c r="J9" i="11" s="1"/>
  <c r="I33" i="11"/>
  <c r="J33" i="11" s="1"/>
  <c r="I27" i="10"/>
  <c r="J27" i="10" s="1"/>
  <c r="I11" i="10"/>
  <c r="J11" i="10" s="1"/>
  <c r="I28" i="11"/>
  <c r="J28" i="11" s="1"/>
  <c r="I12" i="11"/>
  <c r="J12" i="11" s="1"/>
  <c r="I29" i="11"/>
  <c r="J29" i="11" s="1"/>
  <c r="I30" i="10"/>
  <c r="J30" i="10" s="1"/>
  <c r="I14" i="10"/>
  <c r="J14" i="10" s="1"/>
  <c r="I31" i="11"/>
  <c r="J31" i="11" s="1"/>
  <c r="I15" i="11"/>
  <c r="J15" i="11" s="1"/>
  <c r="I37" i="11"/>
  <c r="J37" i="11" s="1"/>
  <c r="I33" i="10"/>
  <c r="J33" i="10" s="1"/>
  <c r="I17" i="10"/>
  <c r="J17" i="10" s="1"/>
  <c r="I30" i="11"/>
  <c r="J30" i="11" s="1"/>
  <c r="I10" i="11"/>
  <c r="J10" i="11" s="1"/>
  <c r="I4" i="11"/>
  <c r="J4" i="11" s="1"/>
  <c r="I5" i="10"/>
  <c r="J5" i="10" s="1"/>
  <c r="K7" i="5"/>
  <c r="M7" i="5"/>
  <c r="I6" i="11"/>
  <c r="J6" i="11" s="1"/>
  <c r="I12" i="10"/>
  <c r="J12" i="10" s="1"/>
  <c r="I8" i="10"/>
  <c r="J8" i="10" s="1"/>
  <c r="I31" i="10"/>
  <c r="J31" i="10" s="1"/>
  <c r="I15" i="10"/>
  <c r="J15" i="10" s="1"/>
  <c r="I32" i="11"/>
  <c r="J32" i="11" s="1"/>
  <c r="I16" i="11"/>
  <c r="J16" i="11" s="1"/>
  <c r="I16" i="10"/>
  <c r="J16" i="10" s="1"/>
  <c r="I34" i="10"/>
  <c r="J34" i="10" s="1"/>
  <c r="I18" i="10"/>
  <c r="J18" i="10" s="1"/>
  <c r="I35" i="11"/>
  <c r="J35" i="11" s="1"/>
  <c r="I19" i="11"/>
  <c r="J19" i="11" s="1"/>
  <c r="I24" i="10"/>
  <c r="J24" i="10" s="1"/>
  <c r="I37" i="10"/>
  <c r="J37" i="10" s="1"/>
  <c r="I21" i="10"/>
  <c r="J21" i="10" s="1"/>
  <c r="I38" i="11"/>
  <c r="J38" i="11" s="1"/>
  <c r="I14" i="11"/>
  <c r="J14" i="11" s="1"/>
  <c r="I3" i="10"/>
  <c r="J3" i="10" s="1"/>
  <c r="I3" i="11"/>
  <c r="J3" i="11" s="1"/>
  <c r="I28" i="10"/>
  <c r="J28" i="10" s="1"/>
  <c r="I20" i="10"/>
  <c r="J20" i="10" s="1"/>
  <c r="I35" i="10"/>
  <c r="J35" i="10" s="1"/>
  <c r="I19" i="10"/>
  <c r="J19" i="10" s="1"/>
  <c r="I36" i="11"/>
  <c r="J36" i="11" s="1"/>
  <c r="I20" i="11"/>
  <c r="J20" i="11" s="1"/>
  <c r="I36" i="10"/>
  <c r="J36" i="10" s="1"/>
  <c r="I38" i="10"/>
  <c r="J38" i="10" s="1"/>
  <c r="I22" i="10"/>
  <c r="J22" i="10" s="1"/>
  <c r="I6" i="10"/>
  <c r="J6" i="10" s="1"/>
  <c r="I23" i="11"/>
  <c r="J23" i="11" s="1"/>
  <c r="I7" i="11"/>
  <c r="J7" i="11" s="1"/>
  <c r="I13" i="11"/>
  <c r="J13" i="11" s="1"/>
  <c r="I25" i="10"/>
  <c r="J25" i="10" s="1"/>
  <c r="I9" i="10"/>
  <c r="J9" i="10" s="1"/>
  <c r="I22" i="11"/>
  <c r="J22" i="11" s="1"/>
  <c r="I2" i="11"/>
  <c r="J2" i="11" s="1"/>
  <c r="I34" i="11"/>
  <c r="J34" i="11" s="1"/>
  <c r="I18" i="11"/>
  <c r="J18" i="11" s="1"/>
  <c r="I5" i="11"/>
  <c r="J5" i="11" s="1"/>
  <c r="N10" i="8"/>
  <c r="N12" i="8" s="1"/>
  <c r="O10" i="8"/>
  <c r="I30" i="9"/>
  <c r="J30" i="9" s="1"/>
  <c r="I31" i="9"/>
  <c r="J31" i="9" s="1"/>
  <c r="I26" i="9"/>
  <c r="J26" i="9" s="1"/>
  <c r="I10" i="9"/>
  <c r="J10" i="9" s="1"/>
  <c r="I37" i="9"/>
  <c r="J37" i="9" s="1"/>
  <c r="I21" i="9"/>
  <c r="J21" i="9" s="1"/>
  <c r="I28" i="9"/>
  <c r="J28" i="9" s="1"/>
  <c r="I12" i="9"/>
  <c r="J12" i="9" s="1"/>
  <c r="I5" i="9"/>
  <c r="J5" i="9" s="1"/>
  <c r="I3" i="9"/>
  <c r="J3" i="9" s="1"/>
  <c r="I25" i="9"/>
  <c r="J25" i="9" s="1"/>
  <c r="I16" i="9"/>
  <c r="J16" i="9" s="1"/>
  <c r="I2" i="9"/>
  <c r="J2" i="9" s="1"/>
  <c r="I23" i="9"/>
  <c r="J23" i="9" s="1"/>
  <c r="I38" i="9"/>
  <c r="J38" i="9" s="1"/>
  <c r="I22" i="9"/>
  <c r="J22" i="9" s="1"/>
  <c r="I6" i="9"/>
  <c r="J6" i="9" s="1"/>
  <c r="I33" i="9"/>
  <c r="J33" i="9" s="1"/>
  <c r="I17" i="9"/>
  <c r="J17" i="9" s="1"/>
  <c r="I19" i="9"/>
  <c r="J19" i="9" s="1"/>
  <c r="I24" i="9"/>
  <c r="J24" i="9" s="1"/>
  <c r="I8" i="9"/>
  <c r="J8" i="9" s="1"/>
  <c r="I4" i="9"/>
  <c r="J4" i="9" s="1"/>
  <c r="I11" i="9"/>
  <c r="J11" i="9" s="1"/>
  <c r="I14" i="9"/>
  <c r="J14" i="9" s="1"/>
  <c r="I15" i="9"/>
  <c r="J15" i="9" s="1"/>
  <c r="I9" i="9"/>
  <c r="J9" i="9" s="1"/>
  <c r="I32" i="9"/>
  <c r="J32" i="9" s="1"/>
  <c r="I7" i="9"/>
  <c r="J7" i="9" s="1"/>
  <c r="I27" i="9"/>
  <c r="J27" i="9" s="1"/>
  <c r="I34" i="9"/>
  <c r="J34" i="9" s="1"/>
  <c r="I18" i="9"/>
  <c r="J18" i="9" s="1"/>
  <c r="I35" i="9"/>
  <c r="J35" i="9" s="1"/>
  <c r="I29" i="9"/>
  <c r="J29" i="9" s="1"/>
  <c r="I13" i="9"/>
  <c r="J13" i="9" s="1"/>
  <c r="I36" i="9"/>
  <c r="J36" i="9" s="1"/>
  <c r="J10" i="10"/>
  <c r="J20" i="9"/>
  <c r="J2" i="10"/>
  <c r="K4" i="5"/>
  <c r="M4" i="5"/>
  <c r="M3" i="5"/>
  <c r="K3" i="5"/>
  <c r="L3" i="5" s="1"/>
  <c r="M5" i="11" l="1"/>
  <c r="M34" i="11"/>
  <c r="M22" i="11"/>
  <c r="M7" i="11"/>
  <c r="M20" i="11"/>
  <c r="M3" i="11"/>
  <c r="M14" i="11"/>
  <c r="M35" i="11"/>
  <c r="M16" i="11"/>
  <c r="M6" i="11"/>
  <c r="M4" i="11"/>
  <c r="M30" i="11"/>
  <c r="M15" i="11"/>
  <c r="M29" i="11"/>
  <c r="M28" i="11"/>
  <c r="M9" i="11"/>
  <c r="M24" i="11"/>
  <c r="M25" i="11"/>
  <c r="M27" i="11"/>
  <c r="M21" i="11"/>
  <c r="M11" i="11"/>
  <c r="K25" i="11"/>
  <c r="N25" i="11" s="1"/>
  <c r="M18" i="11"/>
  <c r="M2" i="11"/>
  <c r="M13" i="11"/>
  <c r="M23" i="11"/>
  <c r="M36" i="11"/>
  <c r="M38" i="11"/>
  <c r="M19" i="11"/>
  <c r="M32" i="11"/>
  <c r="M10" i="11"/>
  <c r="M37" i="11"/>
  <c r="M31" i="11"/>
  <c r="M12" i="11"/>
  <c r="M33" i="11"/>
  <c r="M26" i="11"/>
  <c r="M8" i="11"/>
  <c r="M17" i="11"/>
  <c r="N19" i="8"/>
  <c r="K31" i="11"/>
  <c r="N31" i="11" s="1"/>
  <c r="K30" i="11"/>
  <c r="N30" i="11" s="1"/>
  <c r="K4" i="11"/>
  <c r="N4" i="11" s="1"/>
  <c r="K20" i="11"/>
  <c r="L20" i="11" s="1"/>
  <c r="K11" i="11"/>
  <c r="L11" i="11" s="1"/>
  <c r="K36" i="11"/>
  <c r="N36" i="11" s="1"/>
  <c r="K21" i="11"/>
  <c r="L21" i="11" s="1"/>
  <c r="K3" i="11"/>
  <c r="N3" i="11" s="1"/>
  <c r="K14" i="11"/>
  <c r="N14" i="11" s="1"/>
  <c r="N7" i="5"/>
  <c r="L7" i="5"/>
  <c r="N8" i="5"/>
  <c r="L6" i="5"/>
  <c r="N6" i="5"/>
  <c r="K27" i="11"/>
  <c r="L27" i="11" s="1"/>
  <c r="K26" i="11"/>
  <c r="L26" i="11" s="1"/>
  <c r="K5" i="11"/>
  <c r="L5" i="11" s="1"/>
  <c r="K32" i="11"/>
  <c r="L32" i="11" s="1"/>
  <c r="K2" i="11"/>
  <c r="L2" i="11" s="1"/>
  <c r="K19" i="11"/>
  <c r="N19" i="11" s="1"/>
  <c r="K38" i="11"/>
  <c r="L38" i="11" s="1"/>
  <c r="K22" i="11"/>
  <c r="L22" i="11" s="1"/>
  <c r="K6" i="11"/>
  <c r="L6" i="11" s="1"/>
  <c r="K33" i="11"/>
  <c r="N33" i="11" s="1"/>
  <c r="K13" i="11"/>
  <c r="L13" i="11" s="1"/>
  <c r="K28" i="11"/>
  <c r="L28" i="11" s="1"/>
  <c r="K12" i="11"/>
  <c r="N12" i="11" s="1"/>
  <c r="K23" i="11"/>
  <c r="L23" i="11" s="1"/>
  <c r="K7" i="11"/>
  <c r="L7" i="11" s="1"/>
  <c r="K10" i="11"/>
  <c r="L10" i="11" s="1"/>
  <c r="K17" i="11"/>
  <c r="L17" i="11" s="1"/>
  <c r="K16" i="11"/>
  <c r="L16" i="11" s="1"/>
  <c r="K35" i="11"/>
  <c r="N35" i="11" s="1"/>
  <c r="K15" i="11"/>
  <c r="N15" i="11" s="1"/>
  <c r="K34" i="11"/>
  <c r="L34" i="11" s="1"/>
  <c r="K18" i="11"/>
  <c r="N18" i="11" s="1"/>
  <c r="K37" i="11"/>
  <c r="N37" i="11" s="1"/>
  <c r="K29" i="11"/>
  <c r="N29" i="11" s="1"/>
  <c r="K9" i="11"/>
  <c r="N9" i="11" s="1"/>
  <c r="K24" i="11"/>
  <c r="N24" i="11" s="1"/>
  <c r="K8" i="11"/>
  <c r="N8" i="11" s="1"/>
  <c r="O12" i="8"/>
  <c r="O19" i="8" s="1"/>
  <c r="N16" i="11"/>
  <c r="M4" i="10"/>
  <c r="K4" i="10"/>
  <c r="M26" i="10"/>
  <c r="K26" i="10"/>
  <c r="K29" i="9"/>
  <c r="M29" i="9"/>
  <c r="K9" i="10"/>
  <c r="M9" i="10"/>
  <c r="M36" i="10"/>
  <c r="K36" i="10"/>
  <c r="M7" i="9"/>
  <c r="K7" i="9"/>
  <c r="M22" i="10"/>
  <c r="K22" i="10"/>
  <c r="M25" i="9"/>
  <c r="K25" i="9"/>
  <c r="M24" i="10"/>
  <c r="K24" i="10"/>
  <c r="M2" i="9"/>
  <c r="K2" i="9"/>
  <c r="M34" i="9"/>
  <c r="K34" i="9"/>
  <c r="K19" i="10"/>
  <c r="M19" i="10"/>
  <c r="M18" i="10"/>
  <c r="K18" i="10"/>
  <c r="M23" i="9"/>
  <c r="K23" i="9"/>
  <c r="M22" i="9"/>
  <c r="K22" i="9"/>
  <c r="K17" i="9"/>
  <c r="M17" i="9"/>
  <c r="K3" i="9"/>
  <c r="M3" i="9"/>
  <c r="K5" i="9"/>
  <c r="M5" i="9"/>
  <c r="K31" i="10"/>
  <c r="M31" i="10"/>
  <c r="M20" i="10"/>
  <c r="K20" i="10"/>
  <c r="K15" i="9"/>
  <c r="M15" i="9"/>
  <c r="M28" i="9"/>
  <c r="K28" i="9"/>
  <c r="M14" i="9"/>
  <c r="K14" i="9"/>
  <c r="M30" i="9"/>
  <c r="K30" i="9"/>
  <c r="M20" i="9"/>
  <c r="K20" i="9"/>
  <c r="K3" i="10"/>
  <c r="M3" i="10"/>
  <c r="K21" i="9"/>
  <c r="M21" i="9"/>
  <c r="K25" i="10"/>
  <c r="M25" i="10"/>
  <c r="M14" i="10"/>
  <c r="K14" i="10"/>
  <c r="M16" i="10"/>
  <c r="K16" i="10"/>
  <c r="K33" i="10"/>
  <c r="M33" i="10"/>
  <c r="M36" i="9"/>
  <c r="K36" i="9"/>
  <c r="M32" i="9"/>
  <c r="K32" i="9"/>
  <c r="M6" i="9"/>
  <c r="K6" i="9"/>
  <c r="M27" i="10"/>
  <c r="K27" i="10"/>
  <c r="K29" i="10"/>
  <c r="M29" i="10"/>
  <c r="K23" i="10"/>
  <c r="M23" i="10"/>
  <c r="M2" i="10"/>
  <c r="K2" i="10"/>
  <c r="M34" i="10"/>
  <c r="K34" i="10"/>
  <c r="K37" i="9"/>
  <c r="M37" i="9"/>
  <c r="M28" i="10"/>
  <c r="K28" i="10"/>
  <c r="K19" i="9"/>
  <c r="M19" i="9"/>
  <c r="M26" i="9"/>
  <c r="K26" i="9"/>
  <c r="M30" i="10"/>
  <c r="K30" i="10"/>
  <c r="K33" i="9"/>
  <c r="M33" i="9"/>
  <c r="M32" i="10"/>
  <c r="K32" i="10"/>
  <c r="K27" i="9"/>
  <c r="M27" i="9"/>
  <c r="M24" i="9"/>
  <c r="K24" i="9"/>
  <c r="K35" i="10"/>
  <c r="M35" i="10"/>
  <c r="M38" i="9"/>
  <c r="K38" i="9"/>
  <c r="M4" i="9"/>
  <c r="K4" i="9"/>
  <c r="K15" i="10"/>
  <c r="M15" i="10"/>
  <c r="M16" i="9"/>
  <c r="K16" i="9"/>
  <c r="M18" i="9"/>
  <c r="K18" i="9"/>
  <c r="M17" i="10"/>
  <c r="K17" i="10"/>
  <c r="M11" i="9"/>
  <c r="K11" i="9"/>
  <c r="M11" i="10"/>
  <c r="K11" i="10"/>
  <c r="M12" i="9"/>
  <c r="K12" i="9"/>
  <c r="M13" i="10"/>
  <c r="K13" i="10"/>
  <c r="M8" i="9"/>
  <c r="K8" i="9"/>
  <c r="K35" i="9"/>
  <c r="M35" i="9"/>
  <c r="K21" i="10"/>
  <c r="M21" i="10"/>
  <c r="M5" i="10"/>
  <c r="K5" i="10"/>
  <c r="M10" i="10"/>
  <c r="K10" i="10"/>
  <c r="M13" i="9"/>
  <c r="K13" i="9"/>
  <c r="M10" i="9"/>
  <c r="K10" i="9"/>
  <c r="M12" i="10"/>
  <c r="K12" i="10"/>
  <c r="M38" i="10"/>
  <c r="K38" i="10"/>
  <c r="M6" i="10"/>
  <c r="K6" i="10"/>
  <c r="M9" i="9"/>
  <c r="K9" i="9"/>
  <c r="M8" i="10"/>
  <c r="K8" i="10"/>
  <c r="M7" i="10"/>
  <c r="K7" i="10"/>
  <c r="K31" i="9"/>
  <c r="M31" i="9"/>
  <c r="K37" i="10"/>
  <c r="M37" i="10"/>
  <c r="N4" i="5"/>
  <c r="L4" i="5"/>
  <c r="N11" i="5"/>
  <c r="N3" i="5"/>
  <c r="J17" i="5"/>
  <c r="L30" i="11" l="1"/>
  <c r="L19" i="11"/>
  <c r="N11" i="11"/>
  <c r="L31" i="11"/>
  <c r="L25" i="11"/>
  <c r="M39" i="11"/>
  <c r="L36" i="11"/>
  <c r="L4" i="11"/>
  <c r="L24" i="11"/>
  <c r="L14" i="11"/>
  <c r="N27" i="11"/>
  <c r="N20" i="11"/>
  <c r="N6" i="11"/>
  <c r="L8" i="11"/>
  <c r="N5" i="11"/>
  <c r="L37" i="11"/>
  <c r="L3" i="11"/>
  <c r="N17" i="11"/>
  <c r="N7" i="11"/>
  <c r="N13" i="11"/>
  <c r="N21" i="11"/>
  <c r="L35" i="11"/>
  <c r="N38" i="11"/>
  <c r="L9" i="11"/>
  <c r="L15" i="11"/>
  <c r="N34" i="11"/>
  <c r="L12" i="11"/>
  <c r="N2" i="11"/>
  <c r="N26" i="11"/>
  <c r="L33" i="11"/>
  <c r="N23" i="11"/>
  <c r="L18" i="11"/>
  <c r="L29" i="11"/>
  <c r="N32" i="11"/>
  <c r="N28" i="11"/>
  <c r="N22" i="11"/>
  <c r="N10" i="11"/>
  <c r="L7" i="10"/>
  <c r="N7" i="10"/>
  <c r="L38" i="10"/>
  <c r="N38" i="10"/>
  <c r="L8" i="9"/>
  <c r="N8" i="9"/>
  <c r="L11" i="9"/>
  <c r="N11" i="9"/>
  <c r="L24" i="9"/>
  <c r="N24" i="9"/>
  <c r="L30" i="10"/>
  <c r="N30" i="10"/>
  <c r="L36" i="9"/>
  <c r="N36" i="9"/>
  <c r="L30" i="9"/>
  <c r="N30" i="9"/>
  <c r="L20" i="10"/>
  <c r="N20" i="10"/>
  <c r="L25" i="9"/>
  <c r="N25" i="9"/>
  <c r="L15" i="10"/>
  <c r="N15" i="10"/>
  <c r="L19" i="9"/>
  <c r="N19" i="9"/>
  <c r="L37" i="9"/>
  <c r="N37" i="9"/>
  <c r="L29" i="10"/>
  <c r="N29" i="10"/>
  <c r="L25" i="10"/>
  <c r="N25" i="10"/>
  <c r="L8" i="10"/>
  <c r="N8" i="10"/>
  <c r="L12" i="10"/>
  <c r="N12" i="10"/>
  <c r="L5" i="10"/>
  <c r="N5" i="10"/>
  <c r="L13" i="10"/>
  <c r="N13" i="10"/>
  <c r="L17" i="10"/>
  <c r="N17" i="10"/>
  <c r="L4" i="9"/>
  <c r="N4" i="9"/>
  <c r="L26" i="9"/>
  <c r="N26" i="9"/>
  <c r="L34" i="10"/>
  <c r="N34" i="10"/>
  <c r="L27" i="10"/>
  <c r="N27" i="10"/>
  <c r="L14" i="9"/>
  <c r="N14" i="9"/>
  <c r="M39" i="9"/>
  <c r="L22" i="9"/>
  <c r="N22" i="9"/>
  <c r="L18" i="10"/>
  <c r="N18" i="10"/>
  <c r="L34" i="9"/>
  <c r="N34" i="9"/>
  <c r="L24" i="10"/>
  <c r="N24" i="10"/>
  <c r="L22" i="10"/>
  <c r="N22" i="10"/>
  <c r="L36" i="10"/>
  <c r="N36" i="10"/>
  <c r="L4" i="10"/>
  <c r="N4" i="10"/>
  <c r="L9" i="9"/>
  <c r="N9" i="9"/>
  <c r="L10" i="9"/>
  <c r="N10" i="9"/>
  <c r="L10" i="10"/>
  <c r="N10" i="10"/>
  <c r="L12" i="9"/>
  <c r="N12" i="9"/>
  <c r="L18" i="9"/>
  <c r="N18" i="9"/>
  <c r="L38" i="9"/>
  <c r="N38" i="9"/>
  <c r="L32" i="10"/>
  <c r="N32" i="10"/>
  <c r="L2" i="10"/>
  <c r="N2" i="10"/>
  <c r="L6" i="9"/>
  <c r="N6" i="9"/>
  <c r="L16" i="10"/>
  <c r="N16" i="10"/>
  <c r="L28" i="9"/>
  <c r="N28" i="9"/>
  <c r="L23" i="9"/>
  <c r="N23" i="9"/>
  <c r="L2" i="9"/>
  <c r="N2" i="9"/>
  <c r="L7" i="9"/>
  <c r="N7" i="9"/>
  <c r="L26" i="10"/>
  <c r="N26" i="10"/>
  <c r="L37" i="10"/>
  <c r="N37" i="10"/>
  <c r="L21" i="10"/>
  <c r="N21" i="10"/>
  <c r="M39" i="10"/>
  <c r="L3" i="10"/>
  <c r="N3" i="10"/>
  <c r="L5" i="9"/>
  <c r="N5" i="9"/>
  <c r="L17" i="9"/>
  <c r="N17" i="9"/>
  <c r="L19" i="10"/>
  <c r="N19" i="10"/>
  <c r="L9" i="10"/>
  <c r="N9" i="10"/>
  <c r="L6" i="10"/>
  <c r="N6" i="10"/>
  <c r="L13" i="9"/>
  <c r="N13" i="9"/>
  <c r="L11" i="10"/>
  <c r="N11" i="10"/>
  <c r="L16" i="9"/>
  <c r="N16" i="9"/>
  <c r="L28" i="10"/>
  <c r="N28" i="10"/>
  <c r="L32" i="9"/>
  <c r="N32" i="9"/>
  <c r="L14" i="10"/>
  <c r="N14" i="10"/>
  <c r="L20" i="9"/>
  <c r="N20" i="9"/>
  <c r="L31" i="9"/>
  <c r="N31" i="9"/>
  <c r="L35" i="9"/>
  <c r="N35" i="9"/>
  <c r="L35" i="10"/>
  <c r="N35" i="10"/>
  <c r="L27" i="9"/>
  <c r="N27" i="9"/>
  <c r="L33" i="9"/>
  <c r="N33" i="9"/>
  <c r="L23" i="10"/>
  <c r="N23" i="10"/>
  <c r="L33" i="10"/>
  <c r="N33" i="10"/>
  <c r="L21" i="9"/>
  <c r="N21" i="9"/>
  <c r="L15" i="9"/>
  <c r="N15" i="9"/>
  <c r="L31" i="10"/>
  <c r="N31" i="10"/>
  <c r="L3" i="9"/>
  <c r="N3" i="9"/>
  <c r="L29" i="9"/>
  <c r="N29" i="9"/>
  <c r="M17" i="5"/>
  <c r="K17" i="5"/>
  <c r="L17" i="5" s="1"/>
  <c r="J26" i="5"/>
  <c r="J19" i="5"/>
  <c r="J29" i="5"/>
  <c r="J31" i="5"/>
  <c r="J13" i="5"/>
  <c r="J35" i="5"/>
  <c r="J16" i="5"/>
  <c r="J20" i="5"/>
  <c r="J33" i="5"/>
  <c r="J30" i="5"/>
  <c r="J14" i="5"/>
  <c r="J24" i="5"/>
  <c r="J23" i="5"/>
  <c r="J21" i="5"/>
  <c r="J5" i="5"/>
  <c r="J18" i="5"/>
  <c r="J34" i="5"/>
  <c r="J28" i="5"/>
  <c r="J27" i="5"/>
  <c r="J15" i="5"/>
  <c r="J25" i="5"/>
  <c r="J12" i="5"/>
  <c r="J22" i="5"/>
  <c r="J32" i="5"/>
  <c r="L39" i="11" l="1"/>
  <c r="N10" i="5"/>
  <c r="L39" i="10"/>
  <c r="L39" i="9"/>
  <c r="K32" i="5"/>
  <c r="L32" i="5" s="1"/>
  <c r="M32" i="5"/>
  <c r="K28" i="5"/>
  <c r="L28" i="5" s="1"/>
  <c r="M28" i="5"/>
  <c r="K33" i="5"/>
  <c r="L33" i="5" s="1"/>
  <c r="M33" i="5"/>
  <c r="M29" i="5"/>
  <c r="K29" i="5"/>
  <c r="L29" i="5" s="1"/>
  <c r="M15" i="5"/>
  <c r="K15" i="5"/>
  <c r="L15" i="5" s="1"/>
  <c r="K14" i="5"/>
  <c r="L14" i="5" s="1"/>
  <c r="M14" i="5"/>
  <c r="K20" i="5"/>
  <c r="L20" i="5" s="1"/>
  <c r="M20" i="5"/>
  <c r="K31" i="5"/>
  <c r="L31" i="5" s="1"/>
  <c r="M31" i="5"/>
  <c r="K19" i="5"/>
  <c r="L19" i="5" s="1"/>
  <c r="M19" i="5"/>
  <c r="M25" i="5"/>
  <c r="K25" i="5"/>
  <c r="L25" i="5" s="1"/>
  <c r="K24" i="5"/>
  <c r="L24" i="5" s="1"/>
  <c r="M24" i="5"/>
  <c r="K27" i="5"/>
  <c r="L27" i="5" s="1"/>
  <c r="M27" i="5"/>
  <c r="M30" i="5"/>
  <c r="K30" i="5"/>
  <c r="L30" i="5" s="1"/>
  <c r="M26" i="5"/>
  <c r="K26" i="5"/>
  <c r="L26" i="5" s="1"/>
  <c r="M5" i="5"/>
  <c r="K5" i="5"/>
  <c r="K13" i="5"/>
  <c r="L13" i="5" s="1"/>
  <c r="M13" i="5"/>
  <c r="K21" i="5"/>
  <c r="L21" i="5" s="1"/>
  <c r="M21" i="5"/>
  <c r="M22" i="5"/>
  <c r="K22" i="5"/>
  <c r="L22" i="5" s="1"/>
  <c r="M34" i="5"/>
  <c r="K34" i="5"/>
  <c r="L34" i="5" s="1"/>
  <c r="M16" i="5"/>
  <c r="K16" i="5"/>
  <c r="L16" i="5" s="1"/>
  <c r="M12" i="5"/>
  <c r="K12" i="5"/>
  <c r="L12" i="5" s="1"/>
  <c r="M18" i="5"/>
  <c r="K18" i="5"/>
  <c r="L18" i="5" s="1"/>
  <c r="K23" i="5"/>
  <c r="L23" i="5" s="1"/>
  <c r="M23" i="5"/>
  <c r="K35" i="5"/>
  <c r="L35" i="5" s="1"/>
  <c r="M35" i="5"/>
  <c r="J2" i="5"/>
  <c r="G36" i="5"/>
  <c r="N9" i="5" l="1"/>
  <c r="L5" i="5"/>
  <c r="N5" i="5"/>
  <c r="K2" i="5"/>
  <c r="M2" i="5"/>
  <c r="M36" i="5" s="1"/>
  <c r="N33" i="5" l="1"/>
  <c r="N16" i="5"/>
  <c r="N24" i="5"/>
  <c r="N30" i="5"/>
  <c r="N26" i="5"/>
  <c r="N18" i="5"/>
  <c r="N15" i="5"/>
  <c r="N12" i="5"/>
  <c r="N29" i="5"/>
  <c r="N2" i="5"/>
  <c r="L2" i="5"/>
  <c r="N19" i="5"/>
  <c r="N31" i="5"/>
  <c r="N20" i="5"/>
  <c r="N35" i="5"/>
  <c r="N14" i="5"/>
  <c r="N13" i="5"/>
  <c r="N21" i="5"/>
  <c r="N23" i="5"/>
  <c r="N34" i="5"/>
  <c r="N28" i="5"/>
  <c r="N27" i="5"/>
  <c r="N25" i="5"/>
  <c r="N22" i="5"/>
  <c r="N32" i="5"/>
  <c r="N17" i="5"/>
  <c r="L36" i="5" l="1"/>
  <c r="N21" i="8" s="1"/>
  <c r="N22" i="8" l="1"/>
  <c r="O21" i="8"/>
  <c r="O22" i="8" s="1"/>
  <c r="P21" i="8"/>
  <c r="P22" i="8" s="1"/>
</calcChain>
</file>

<file path=xl/sharedStrings.xml><?xml version="1.0" encoding="utf-8"?>
<sst xmlns="http://schemas.openxmlformats.org/spreadsheetml/2006/main" count="444" uniqueCount="78">
  <si>
    <t>Наименование муниципалитета</t>
  </si>
  <si>
    <t>Организация 1</t>
  </si>
  <si>
    <t>Организация 2</t>
  </si>
  <si>
    <t>Художественная</t>
  </si>
  <si>
    <t>Физкультурно-спортивная</t>
  </si>
  <si>
    <t>Число сертификатов с определенным номиналом</t>
  </si>
  <si>
    <t>Количество учебных недель в году</t>
  </si>
  <si>
    <t>Направленность</t>
  </si>
  <si>
    <t>Учреждение</t>
  </si>
  <si>
    <t>Программа</t>
  </si>
  <si>
    <t>Количество мест</t>
  </si>
  <si>
    <t>Норматив затрат по ПФ</t>
  </si>
  <si>
    <t>х</t>
  </si>
  <si>
    <t>Количество учебных часов в неделю</t>
  </si>
  <si>
    <t>Предполагаемая цена за чел/час</t>
  </si>
  <si>
    <t>ДОХОД учреждения по ПФ ДОД</t>
  </si>
  <si>
    <t>Объем муниципального задания ПФ ДОД, человеко-часов</t>
  </si>
  <si>
    <t>Стоимость учебного пособия</t>
  </si>
  <si>
    <t>Норматив использования средств обучения в часах в год</t>
  </si>
  <si>
    <t>Затраты на содержание имущества</t>
  </si>
  <si>
    <t>Затраты на приобретение средств обучения и учебной литературы</t>
  </si>
  <si>
    <t>Затраты на повышение квал-ии и медосмотры</t>
  </si>
  <si>
    <t>Туристско-краеведческая</t>
  </si>
  <si>
    <t>Затраты на оплату труда АУП</t>
  </si>
  <si>
    <t>Затраты на оплату труда педагогических работников</t>
  </si>
  <si>
    <t>Естественнонаучная</t>
  </si>
  <si>
    <t>Техническая</t>
  </si>
  <si>
    <t>Максимальное число детей в группе</t>
  </si>
  <si>
    <t>Стоимость комплекта средств обучения, по направленностям</t>
  </si>
  <si>
    <t>Минимальное число детей в группе</t>
  </si>
  <si>
    <t>Затраты на содержание имущества, на час реализации программы</t>
  </si>
  <si>
    <r>
      <t>Средняя норма часов в год на одного ребенка V</t>
    </r>
    <r>
      <rPr>
        <vertAlign val="subscript"/>
        <sz val="12"/>
        <color theme="1"/>
        <rFont val="Calibri"/>
        <family val="2"/>
        <charset val="204"/>
        <scheme val="minor"/>
      </rPr>
      <t>час</t>
    </r>
  </si>
  <si>
    <t>Стоимость медосмотра</t>
  </si>
  <si>
    <r>
      <t>Среднее число учащихся на педагога Q</t>
    </r>
    <r>
      <rPr>
        <vertAlign val="subscript"/>
        <sz val="12"/>
        <color theme="1"/>
        <rFont val="Calibri"/>
        <family val="2"/>
        <charset val="204"/>
        <scheme val="minor"/>
      </rPr>
      <t>сред</t>
    </r>
  </si>
  <si>
    <t>Сумма затрат на повышение квалификации, в день</t>
  </si>
  <si>
    <t>Коэффициент доли работников АУП</t>
  </si>
  <si>
    <t>Средняя зарплата по региону (целевой индикатор по Указу)</t>
  </si>
  <si>
    <t>Прогнозный уровень инфляции (индексация расходов, не связанных с оплатой труда)</t>
  </si>
  <si>
    <t>Количество часов, покрываемое номиналом</t>
  </si>
  <si>
    <t>Номинал сертификата</t>
  </si>
  <si>
    <t>Установленный процент охвата</t>
  </si>
  <si>
    <t>Максимальный норматив ПФ</t>
  </si>
  <si>
    <t>В том числе за счет средств областного бюджета (прогнозно)</t>
  </si>
  <si>
    <t>Объем финансового обеспечения ПФ ДОД, рублей</t>
  </si>
  <si>
    <t>Организация 3</t>
  </si>
  <si>
    <t>Справочно число педчасов на указную зарплату при установленных параметрах</t>
  </si>
  <si>
    <t>Соблюдение установленного охвата</t>
  </si>
  <si>
    <t>Все дети от 5 до 18 лет</t>
  </si>
  <si>
    <t>Отраслевые коэффициенты</t>
  </si>
  <si>
    <t>Адаптированная программа для детей с ОВЗ</t>
  </si>
  <si>
    <t>Программа в дистанционной форме</t>
  </si>
  <si>
    <t>Программа в очно-заочной форме</t>
  </si>
  <si>
    <t>Номинал сертификата*</t>
  </si>
  <si>
    <t>*Не может быть менее устанавливаемого для всех детей в возрасте от 5 до 18 лет</t>
  </si>
  <si>
    <t>Сетевая журналистика</t>
  </si>
  <si>
    <t>Рисуем мангу</t>
  </si>
  <si>
    <t>Зарубежные новости (на английском)</t>
  </si>
  <si>
    <t>Web-дизайн</t>
  </si>
  <si>
    <t>Web-програмирование</t>
  </si>
  <si>
    <t>Численность детей от 5 до 18 лет, всего</t>
  </si>
  <si>
    <t>Количество учебных недель в периоде обучения</t>
  </si>
  <si>
    <t>Стоимость 1 места в периоде обучения</t>
  </si>
  <si>
    <t>Оплата 1 места в периоде обучения сертификатом</t>
  </si>
  <si>
    <t>Доплата со стороны родителей за 1 место в периоде обучения</t>
  </si>
  <si>
    <t>Нормативные затраты на час Х+1 года</t>
  </si>
  <si>
    <t>Нормативные затраты на час Х+2 года</t>
  </si>
  <si>
    <t>Нормативные затраты на час Х+3 года</t>
  </si>
  <si>
    <t>Дети от 5 до 18 лет с ограниченными возможностями здоровья (ОВЗ)</t>
  </si>
  <si>
    <t>Социально-гуманитарная</t>
  </si>
  <si>
    <t>В том числе на гранты в форме субсидий (допустимое значение от 2% до 10%)</t>
  </si>
  <si>
    <t>Параметры 2023 года</t>
  </si>
  <si>
    <t>Дополнительная категория ( запоняется муниципалитетом самостоятельно)</t>
  </si>
  <si>
    <t>Коэффициент к дополнительной категории</t>
  </si>
  <si>
    <t>МБУ ДО "Урадинская ДЮСШ им. Сураката Асиятилова"</t>
  </si>
  <si>
    <t>Вольная борьба</t>
  </si>
  <si>
    <t>МБУ ДО "Хебдинская ДЮСШ"</t>
  </si>
  <si>
    <t>МБУ ДО "Телетлинская ДЮСШ"</t>
  </si>
  <si>
    <t>Шамильский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</si>
</sst>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\ _₽_-;\-* #,##0.00\ _₽_-;_-* &quot;-&quot;??\ _₽_-;_-@_-"/>
    <numFmt numFmtId="164" formatCode="#,##0.00\ &quot;₽&quot;"/>
    <numFmt numFmtId="165" formatCode="0.00_ ;[Red]\-0.00\ "/>
    <numFmt numFmtId="166" formatCode="#,##0_ ;\-#,##0\ "/>
    <numFmt numFmtId="167" formatCode="#,##0\ &quot;₽&quot;"/>
    <numFmt numFmtId="168" formatCode="#,##0\ _₽"/>
    <numFmt numFmtId="169" formatCode="0.0%"/>
    <numFmt numFmtId="170" formatCode="0.000"/>
  </numFmts>
  <fonts count="18" x14ac:knownFonts="1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color rgb="FFC00000"/>
      <name val="Calibri"/>
      <family val="2"/>
      <scheme val="minor"/>
    </font>
    <font>
      <sz val="12"/>
      <color rgb="FFC00000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color rgb="FF000000"/>
      <name val="Calibri"/>
      <family val="2"/>
      <scheme val="minor"/>
    </font>
    <font>
      <vertAlign val="subscript"/>
      <sz val="12"/>
      <color theme="1"/>
      <name val="Calibri"/>
      <family val="2"/>
      <charset val="204"/>
      <scheme val="minor"/>
    </font>
    <font>
      <sz val="12"/>
      <color theme="0" tint="-0.34998626667073579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2"/>
      <color rgb="FFC0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sz val="16"/>
      <color rgb="FF3B3B3B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0" applyFont="1" applyAlignment="1">
      <alignment horizontal="center"/>
    </xf>
    <xf numFmtId="0" fontId="0" fillId="3" borderId="1" xfId="0" applyFill="1" applyBorder="1" applyProtection="1">
      <protection locked="0"/>
    </xf>
    <xf numFmtId="43" fontId="0" fillId="0" borderId="1" xfId="1" applyFont="1" applyBorder="1" applyAlignment="1">
      <alignment wrapText="1"/>
    </xf>
    <xf numFmtId="43" fontId="0" fillId="0" borderId="1" xfId="0" applyNumberFormat="1" applyBorder="1"/>
    <xf numFmtId="1" fontId="5" fillId="0" borderId="1" xfId="0" applyNumberFormat="1" applyFont="1" applyBorder="1" applyAlignment="1" applyProtection="1">
      <alignment horizontal="center"/>
      <protection locked="0"/>
    </xf>
    <xf numFmtId="43" fontId="5" fillId="0" borderId="1" xfId="0" applyNumberFormat="1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43" fontId="0" fillId="0" borderId="0" xfId="1" applyFont="1" applyAlignment="1">
      <alignment wrapText="1"/>
    </xf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  <xf numFmtId="43" fontId="0" fillId="0" borderId="0" xfId="1" applyFont="1" applyProtection="1"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" fontId="2" fillId="0" borderId="1" xfId="0" applyNumberFormat="1" applyFont="1" applyBorder="1" applyAlignment="1" applyProtection="1">
      <alignment horizontal="center" vertical="center" wrapText="1"/>
      <protection locked="0"/>
    </xf>
    <xf numFmtId="43" fontId="2" fillId="0" borderId="1" xfId="1" applyFont="1" applyBorder="1" applyAlignment="1" applyProtection="1">
      <alignment horizontal="center" vertical="center" wrapText="1"/>
      <protection locked="0"/>
    </xf>
    <xf numFmtId="43" fontId="2" fillId="0" borderId="1" xfId="1" applyFont="1" applyBorder="1" applyAlignment="1">
      <alignment horizontal="center" vertical="center" wrapText="1"/>
    </xf>
    <xf numFmtId="0" fontId="0" fillId="3" borderId="1" xfId="0" applyFill="1" applyBorder="1" applyAlignment="1" applyProtection="1">
      <alignment horizontal="center"/>
      <protection locked="0"/>
    </xf>
    <xf numFmtId="1" fontId="0" fillId="3" borderId="1" xfId="0" applyNumberFormat="1" applyFill="1" applyBorder="1" applyAlignment="1" applyProtection="1">
      <alignment horizontal="center"/>
      <protection locked="0"/>
    </xf>
    <xf numFmtId="43" fontId="0" fillId="3" borderId="1" xfId="1" applyFont="1" applyFill="1" applyBorder="1" applyAlignment="1" applyProtection="1">
      <alignment horizontal="center"/>
      <protection locked="0"/>
    </xf>
    <xf numFmtId="43" fontId="6" fillId="0" borderId="1" xfId="1" applyFont="1" applyBorder="1" applyAlignment="1">
      <alignment horizontal="center" vertical="center" wrapText="1"/>
    </xf>
    <xf numFmtId="43" fontId="7" fillId="0" borderId="1" xfId="0" applyNumberFormat="1" applyFont="1" applyBorder="1"/>
    <xf numFmtId="0" fontId="6" fillId="0" borderId="1" xfId="0" applyFont="1" applyBorder="1" applyAlignment="1" applyProtection="1">
      <alignment horizontal="center"/>
      <protection locked="0"/>
    </xf>
    <xf numFmtId="0" fontId="7" fillId="0" borderId="0" xfId="0" applyFont="1"/>
    <xf numFmtId="43" fontId="8" fillId="0" borderId="1" xfId="1" applyFont="1" applyBorder="1" applyAlignment="1">
      <alignment horizontal="center" vertical="center" wrapText="1"/>
    </xf>
    <xf numFmtId="43" fontId="5" fillId="0" borderId="1" xfId="1" applyFont="1" applyBorder="1" applyAlignment="1">
      <alignment wrapText="1"/>
    </xf>
    <xf numFmtId="166" fontId="5" fillId="0" borderId="1" xfId="1" applyNumberFormat="1" applyFont="1" applyBorder="1" applyAlignment="1">
      <alignment wrapText="1"/>
    </xf>
    <xf numFmtId="166" fontId="0" fillId="0" borderId="1" xfId="1" applyNumberFormat="1" applyFont="1" applyFill="1" applyBorder="1" applyAlignment="1">
      <alignment wrapText="1"/>
    </xf>
    <xf numFmtId="3" fontId="0" fillId="0" borderId="0" xfId="0" applyNumberFormat="1" applyAlignment="1" applyProtection="1">
      <alignment horizontal="center" wrapText="1"/>
      <protection locked="0"/>
    </xf>
    <xf numFmtId="3" fontId="5" fillId="2" borderId="1" xfId="0" applyNumberFormat="1" applyFont="1" applyFill="1" applyBorder="1" applyAlignment="1" applyProtection="1">
      <alignment horizontal="center"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4" fontId="0" fillId="2" borderId="1" xfId="0" applyNumberFormat="1" applyFill="1" applyBorder="1" applyAlignment="1" applyProtection="1">
      <alignment horizontal="center" wrapText="1"/>
      <protection locked="0"/>
    </xf>
    <xf numFmtId="3" fontId="0" fillId="2" borderId="1" xfId="0" applyNumberFormat="1" applyFill="1" applyBorder="1" applyAlignment="1" applyProtection="1">
      <alignment horizontal="center" wrapText="1"/>
      <protection locked="0"/>
    </xf>
    <xf numFmtId="3" fontId="0" fillId="4" borderId="1" xfId="0" applyNumberFormat="1" applyFill="1" applyBorder="1" applyAlignment="1" applyProtection="1">
      <alignment horizontal="center" wrapText="1"/>
      <protection locked="0"/>
    </xf>
    <xf numFmtId="3" fontId="0" fillId="2" borderId="1" xfId="0" applyNumberFormat="1" applyFill="1" applyBorder="1" applyAlignment="1" applyProtection="1">
      <alignment wrapText="1"/>
      <protection locked="0"/>
    </xf>
    <xf numFmtId="164" fontId="0" fillId="0" borderId="1" xfId="0" applyNumberFormat="1" applyBorder="1" applyAlignment="1" applyProtection="1">
      <alignment wrapText="1"/>
    </xf>
    <xf numFmtId="164" fontId="5" fillId="4" borderId="1" xfId="0" applyNumberFormat="1" applyFont="1" applyFill="1" applyBorder="1" applyAlignment="1" applyProtection="1">
      <alignment wrapText="1"/>
    </xf>
    <xf numFmtId="164" fontId="0" fillId="4" borderId="1" xfId="0" applyNumberFormat="1" applyFill="1" applyBorder="1" applyAlignment="1" applyProtection="1">
      <alignment wrapText="1"/>
    </xf>
    <xf numFmtId="0" fontId="5" fillId="5" borderId="1" xfId="0" applyFont="1" applyFill="1" applyBorder="1" applyAlignment="1" applyProtection="1">
      <alignment wrapText="1"/>
    </xf>
    <xf numFmtId="168" fontId="5" fillId="5" borderId="1" xfId="0" applyNumberFormat="1" applyFont="1" applyFill="1" applyBorder="1" applyAlignment="1" applyProtection="1">
      <alignment wrapText="1"/>
    </xf>
    <xf numFmtId="168" fontId="13" fillId="5" borderId="1" xfId="0" applyNumberFormat="1" applyFont="1" applyFill="1" applyBorder="1" applyAlignment="1" applyProtection="1">
      <alignment wrapText="1"/>
    </xf>
    <xf numFmtId="169" fontId="13" fillId="5" borderId="1" xfId="2" applyNumberFormat="1" applyFont="1" applyFill="1" applyBorder="1" applyAlignment="1" applyProtection="1">
      <alignment wrapText="1"/>
    </xf>
    <xf numFmtId="0" fontId="2" fillId="0" borderId="0" xfId="0" applyFont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 vertical="top" wrapText="1"/>
      <protection locked="0"/>
    </xf>
    <xf numFmtId="0" fontId="0" fillId="0" borderId="1" xfId="0" applyBorder="1" applyAlignment="1" applyProtection="1">
      <alignment horizontal="left" wrapText="1"/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167" fontId="5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wrapText="1"/>
      <protection locked="0"/>
    </xf>
    <xf numFmtId="0" fontId="15" fillId="0" borderId="1" xfId="0" applyFont="1" applyBorder="1" applyAlignment="1" applyProtection="1">
      <alignment horizontal="center" wrapText="1"/>
      <protection locked="0"/>
    </xf>
    <xf numFmtId="2" fontId="0" fillId="0" borderId="0" xfId="0" applyNumberFormat="1" applyAlignment="1" applyProtection="1">
      <alignment horizontal="center" wrapText="1"/>
      <protection locked="0"/>
    </xf>
    <xf numFmtId="164" fontId="0" fillId="0" borderId="1" xfId="0" applyNumberFormat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2" fontId="0" fillId="0" borderId="1" xfId="0" applyNumberFormat="1" applyBorder="1" applyAlignment="1" applyProtection="1">
      <alignment horizontal="left" wrapText="1"/>
      <protection locked="0"/>
    </xf>
    <xf numFmtId="0" fontId="5" fillId="4" borderId="1" xfId="0" applyFont="1" applyFill="1" applyBorder="1" applyAlignment="1" applyProtection="1">
      <alignment horizontal="left" wrapText="1"/>
      <protection locked="0"/>
    </xf>
    <xf numFmtId="0" fontId="5" fillId="0" borderId="1" xfId="0" applyFont="1" applyBorder="1" applyAlignment="1" applyProtection="1">
      <alignment horizontal="left" wrapText="1"/>
      <protection locked="0"/>
    </xf>
    <xf numFmtId="164" fontId="5" fillId="0" borderId="1" xfId="0" applyNumberFormat="1" applyFont="1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horizontal="center" wrapText="1"/>
      <protection locked="0"/>
    </xf>
    <xf numFmtId="3" fontId="0" fillId="0" borderId="1" xfId="0" applyNumberFormat="1" applyBorder="1" applyAlignment="1" applyProtection="1">
      <alignment wrapText="1"/>
      <protection locked="0"/>
    </xf>
    <xf numFmtId="0" fontId="9" fillId="0" borderId="1" xfId="0" applyFont="1" applyBorder="1" applyAlignment="1" applyProtection="1">
      <alignment horizontal="left" wrapText="1"/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164" fontId="0" fillId="0" borderId="0" xfId="0" applyNumberFormat="1" applyAlignment="1" applyProtection="1">
      <alignment wrapText="1"/>
      <protection locked="0"/>
    </xf>
    <xf numFmtId="0" fontId="0" fillId="0" borderId="0" xfId="0" applyFill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11" fillId="0" borderId="0" xfId="0" applyFont="1" applyAlignment="1" applyProtection="1">
      <alignment wrapText="1"/>
      <protection locked="0"/>
    </xf>
    <xf numFmtId="170" fontId="12" fillId="4" borderId="1" xfId="0" applyNumberFormat="1" applyFont="1" applyFill="1" applyBorder="1" applyAlignment="1" applyProtection="1">
      <alignment horizontal="center" wrapText="1"/>
      <protection locked="0"/>
    </xf>
    <xf numFmtId="3" fontId="0" fillId="0" borderId="0" xfId="0" applyNumberFormat="1" applyAlignment="1" applyProtection="1">
      <alignment wrapText="1"/>
      <protection locked="0"/>
    </xf>
    <xf numFmtId="0" fontId="13" fillId="5" borderId="1" xfId="0" applyFont="1" applyFill="1" applyBorder="1" applyAlignment="1" applyProtection="1">
      <alignment horizontal="left" wrapText="1"/>
      <protection locked="0"/>
    </xf>
    <xf numFmtId="168" fontId="13" fillId="3" borderId="1" xfId="0" applyNumberFormat="1" applyFont="1" applyFill="1" applyBorder="1" applyAlignment="1" applyProtection="1">
      <alignment wrapText="1"/>
      <protection locked="0"/>
    </xf>
    <xf numFmtId="0" fontId="13" fillId="3" borderId="1" xfId="0" applyFont="1" applyFill="1" applyBorder="1" applyAlignment="1" applyProtection="1">
      <alignment wrapText="1"/>
      <protection locked="0"/>
    </xf>
    <xf numFmtId="2" fontId="0" fillId="7" borderId="1" xfId="0" applyNumberFormat="1" applyFill="1" applyBorder="1" applyAlignment="1" applyProtection="1">
      <alignment horizontal="center" wrapText="1"/>
      <protection locked="0"/>
    </xf>
    <xf numFmtId="0" fontId="0" fillId="7" borderId="1" xfId="0" applyFill="1" applyBorder="1" applyAlignment="1" applyProtection="1">
      <alignment wrapText="1"/>
      <protection locked="0"/>
    </xf>
    <xf numFmtId="3" fontId="0" fillId="2" borderId="0" xfId="0" applyNumberFormat="1" applyFill="1" applyAlignment="1" applyProtection="1">
      <alignment horizontal="center" vertical="center" wrapText="1"/>
      <protection locked="0"/>
    </xf>
    <xf numFmtId="1" fontId="0" fillId="2" borderId="0" xfId="0" applyNumberFormat="1" applyFill="1" applyAlignment="1" applyProtection="1">
      <alignment horizontal="center" wrapText="1"/>
      <protection locked="0"/>
    </xf>
    <xf numFmtId="3" fontId="17" fillId="0" borderId="0" xfId="0" applyNumberFormat="1" applyFont="1"/>
    <xf numFmtId="0" fontId="0" fillId="4" borderId="1" xfId="0" applyFill="1" applyBorder="1" applyAlignment="1" applyProtection="1">
      <alignment horizontal="left" wrapText="1"/>
      <protection locked="0"/>
    </xf>
    <xf numFmtId="0" fontId="5" fillId="6" borderId="1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left" wrapText="1"/>
      <protection locked="0"/>
    </xf>
    <xf numFmtId="0" fontId="0" fillId="0" borderId="3" xfId="0" applyBorder="1" applyAlignment="1" applyProtection="1">
      <alignment horizontal="center" wrapText="1"/>
      <protection locked="0"/>
    </xf>
    <xf numFmtId="0" fontId="13" fillId="5" borderId="3" xfId="0" applyFont="1" applyFill="1" applyBorder="1" applyAlignment="1" applyProtection="1">
      <alignment horizontal="center" wrapText="1"/>
      <protection locked="0"/>
    </xf>
    <xf numFmtId="0" fontId="13" fillId="5" borderId="4" xfId="0" applyFont="1" applyFill="1" applyBorder="1" applyAlignment="1" applyProtection="1">
      <alignment horizontal="center" wrapText="1"/>
      <protection locked="0"/>
    </xf>
    <xf numFmtId="2" fontId="0" fillId="7" borderId="1" xfId="0" applyNumberFormat="1" applyFill="1" applyBorder="1" applyAlignment="1" applyProtection="1">
      <alignment horizontal="center" wrapText="1"/>
      <protection locked="0"/>
    </xf>
    <xf numFmtId="0" fontId="16" fillId="6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wrapText="1"/>
      <protection locked="0"/>
    </xf>
    <xf numFmtId="165" fontId="3" fillId="0" borderId="1" xfId="0" applyNumberFormat="1" applyFont="1" applyBorder="1" applyAlignment="1" applyProtection="1">
      <alignment horizontal="center" vertical="center" wrapText="1"/>
      <protection locked="0"/>
    </xf>
    <xf numFmtId="165" fontId="5" fillId="0" borderId="0" xfId="0" applyNumberFormat="1" applyFont="1" applyAlignment="1" applyProtection="1">
      <alignment horizontal="center" vertical="top" wrapText="1"/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0" fontId="0" fillId="0" borderId="1" xfId="0" applyBorder="1" applyAlignment="1" applyProtection="1">
      <alignment horizontal="center" wrapText="1"/>
      <protection locked="0"/>
    </xf>
    <xf numFmtId="0" fontId="5" fillId="0" borderId="0" xfId="0" applyFont="1" applyAlignment="1" applyProtection="1">
      <alignment horizontal="center" vertical="top" wrapText="1"/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</cellXfs>
  <cellStyles count="3">
    <cellStyle name="Обычный" xfId="0" builtinId="0"/>
    <cellStyle name="Процентный" xfId="2" builtinId="5"/>
    <cellStyle name="Финансовый" xfId="1" builtinId="3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lexkostin\Library\Containers\com.microsoft.Excel\Data\Documents\F:\&#1053;&#1072;&#1074;&#1080;&#1075;&#1072;&#1090;&#1086;&#1088;&#1099;\&#1056;&#1045;&#1043;&#1048;&#1054;&#1053;&#1067;\&#1052;&#1086;&#1089;&#1082;&#1074;&#1072;\19.%20&#1057;&#1093;&#1086;&#1076;&#1080;&#1084;&#1086;&#1089;&#1090;&#1100;%20&#1084;&#1086;&#1076;&#1077;&#1083;&#1080;%20&#1055;&#1060;%20&#1044;&#1054;&#1044;%20&#1052;&#105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56;&#1072;&#1089;&#1095;&#1077;&#1090;_&#1064;&#1072;&#1084;&#1080;&#1083;&#1100;&#1089;&#1082;&#1080;&#1081;_&#1087;&#1086;&#1089;_&#1052;&#1089;&#1072;&#1080;&#1090;_04_09_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правочники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ет номинала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="80" zoomScaleNormal="80" workbookViewId="0">
      <selection activeCell="H23" sqref="H23"/>
    </sheetView>
  </sheetViews>
  <sheetFormatPr defaultColWidth="10.875" defaultRowHeight="15.75" x14ac:dyDescent="0.25"/>
  <cols>
    <col min="1" max="1" width="26.375" style="42" customWidth="1"/>
    <col min="2" max="2" width="9.25" style="42" customWidth="1"/>
    <col min="3" max="3" width="12.25" style="42" customWidth="1"/>
    <col min="4" max="4" width="2.25" style="42" customWidth="1"/>
    <col min="5" max="5" width="25.125" style="42" customWidth="1"/>
    <col min="6" max="11" width="15.375" style="42" customWidth="1"/>
    <col min="12" max="12" width="2.125" style="42" customWidth="1"/>
    <col min="13" max="13" width="33.375" style="42" customWidth="1"/>
    <col min="14" max="16" width="13.5" style="42" customWidth="1"/>
    <col min="17" max="16384" width="10.875" style="42"/>
  </cols>
  <sheetData>
    <row r="1" spans="1:17" ht="20.25" x14ac:dyDescent="0.3">
      <c r="A1" s="88" t="s">
        <v>0</v>
      </c>
      <c r="B1" s="88"/>
      <c r="C1" s="89" t="s">
        <v>77</v>
      </c>
      <c r="D1" s="89"/>
      <c r="E1" s="89"/>
      <c r="F1" s="85" t="s">
        <v>59</v>
      </c>
      <c r="G1" s="85"/>
      <c r="H1" s="85"/>
      <c r="I1" s="74">
        <v>6306</v>
      </c>
      <c r="J1" s="41"/>
      <c r="K1" s="41"/>
      <c r="N1" s="43">
        <v>2023</v>
      </c>
      <c r="O1" s="43">
        <v>2024</v>
      </c>
      <c r="P1" s="43">
        <v>2025</v>
      </c>
    </row>
    <row r="2" spans="1:17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M2" s="45" t="s">
        <v>40</v>
      </c>
      <c r="N2" s="33">
        <v>3</v>
      </c>
      <c r="O2" s="33">
        <v>3</v>
      </c>
      <c r="P2" s="33">
        <v>3</v>
      </c>
    </row>
    <row r="3" spans="1:17" ht="31.5" x14ac:dyDescent="0.25">
      <c r="A3" s="84" t="s">
        <v>36</v>
      </c>
      <c r="B3" s="46">
        <v>2023</v>
      </c>
      <c r="C3" s="32">
        <v>35465</v>
      </c>
      <c r="D3" s="27"/>
      <c r="E3" s="47" t="s">
        <v>7</v>
      </c>
      <c r="F3" s="29" t="s">
        <v>26</v>
      </c>
      <c r="G3" s="29" t="s">
        <v>25</v>
      </c>
      <c r="H3" s="29" t="s">
        <v>3</v>
      </c>
      <c r="I3" s="29" t="s">
        <v>22</v>
      </c>
      <c r="J3" s="29" t="s">
        <v>4</v>
      </c>
      <c r="K3" s="29" t="s">
        <v>68</v>
      </c>
      <c r="M3" s="48" t="s">
        <v>46</v>
      </c>
      <c r="N3" s="49" t="str">
        <f>IF($I$1/100*N2&gt;N8+N13+N18,"Охват недостаточен","Соблюдено")</f>
        <v>Соблюдено</v>
      </c>
      <c r="O3" s="49" t="str">
        <f t="shared" ref="O3:P3" si="0">IF($I$1/100*O2&gt;O8+O13+O18,"Охват недостаточен","Соблюдено")</f>
        <v>Соблюдено</v>
      </c>
      <c r="P3" s="49" t="str">
        <f t="shared" si="0"/>
        <v>Соблюдено</v>
      </c>
    </row>
    <row r="4" spans="1:17" ht="34.5" x14ac:dyDescent="0.35">
      <c r="A4" s="84"/>
      <c r="B4" s="46">
        <v>2024</v>
      </c>
      <c r="C4" s="32">
        <v>39349</v>
      </c>
      <c r="D4" s="27"/>
      <c r="E4" s="45" t="s">
        <v>33</v>
      </c>
      <c r="F4" s="72">
        <v>78</v>
      </c>
      <c r="G4" s="72">
        <v>78</v>
      </c>
      <c r="H4" s="72">
        <v>78</v>
      </c>
      <c r="I4" s="72">
        <v>78</v>
      </c>
      <c r="J4" s="72">
        <v>80</v>
      </c>
      <c r="K4" s="72">
        <v>78</v>
      </c>
      <c r="M4" s="76" t="s">
        <v>47</v>
      </c>
      <c r="N4" s="76"/>
      <c r="O4" s="76"/>
      <c r="P4" s="76"/>
    </row>
    <row r="5" spans="1:17" ht="34.5" x14ac:dyDescent="0.35">
      <c r="A5" s="84"/>
      <c r="B5" s="46">
        <v>2025</v>
      </c>
      <c r="C5" s="32">
        <v>44083</v>
      </c>
      <c r="D5" s="50"/>
      <c r="E5" s="45" t="s">
        <v>31</v>
      </c>
      <c r="F5" s="72">
        <v>144</v>
      </c>
      <c r="G5" s="72">
        <v>144</v>
      </c>
      <c r="H5" s="72">
        <v>144</v>
      </c>
      <c r="I5" s="72">
        <v>144</v>
      </c>
      <c r="J5" s="72">
        <v>144</v>
      </c>
      <c r="K5" s="72">
        <v>144</v>
      </c>
      <c r="M5" s="48" t="s">
        <v>41</v>
      </c>
      <c r="N5" s="51">
        <f>MAX(F8:K8)</f>
        <v>69.69</v>
      </c>
      <c r="O5" s="51">
        <f>MAX(F14:K14)</f>
        <v>76.94</v>
      </c>
      <c r="P5" s="51">
        <f>MAX(F15:K15)</f>
        <v>85.5</v>
      </c>
    </row>
    <row r="6" spans="1:17" ht="31.5" x14ac:dyDescent="0.25">
      <c r="A6" s="45" t="s">
        <v>35</v>
      </c>
      <c r="B6" s="52"/>
      <c r="C6" s="30">
        <v>0.3</v>
      </c>
      <c r="D6" s="50"/>
      <c r="E6" s="53" t="s">
        <v>29</v>
      </c>
      <c r="F6" s="73">
        <v>10</v>
      </c>
      <c r="G6" s="73">
        <v>10</v>
      </c>
      <c r="H6" s="73">
        <v>10</v>
      </c>
      <c r="I6" s="73">
        <v>10</v>
      </c>
      <c r="J6" s="73">
        <v>10</v>
      </c>
      <c r="K6" s="73">
        <v>10</v>
      </c>
      <c r="M6" s="54" t="s">
        <v>38</v>
      </c>
      <c r="N6" s="28">
        <v>216</v>
      </c>
      <c r="O6" s="28">
        <v>216</v>
      </c>
      <c r="P6" s="28">
        <v>216</v>
      </c>
    </row>
    <row r="7" spans="1:17" ht="31.5" x14ac:dyDescent="0.25">
      <c r="A7" s="86" t="s">
        <v>70</v>
      </c>
      <c r="B7" s="86"/>
      <c r="C7" s="86"/>
      <c r="D7" s="50"/>
      <c r="E7" s="53" t="s">
        <v>27</v>
      </c>
      <c r="F7" s="73">
        <v>15</v>
      </c>
      <c r="G7" s="73">
        <v>15</v>
      </c>
      <c r="H7" s="73">
        <v>15</v>
      </c>
      <c r="I7" s="73">
        <v>15</v>
      </c>
      <c r="J7" s="73">
        <v>15</v>
      </c>
      <c r="K7" s="73">
        <v>15</v>
      </c>
      <c r="M7" s="55" t="s">
        <v>39</v>
      </c>
      <c r="N7" s="56">
        <f>ROUNDUP(N6*N5,-1)</f>
        <v>15060</v>
      </c>
      <c r="O7" s="56">
        <f t="shared" ref="O7:P7" si="1">ROUNDUP(O6*O5,-1)</f>
        <v>16620</v>
      </c>
      <c r="P7" s="56">
        <f t="shared" si="1"/>
        <v>18470</v>
      </c>
    </row>
    <row r="8" spans="1:17" ht="31.5" x14ac:dyDescent="0.25">
      <c r="A8" s="45" t="s">
        <v>34</v>
      </c>
      <c r="B8" s="52"/>
      <c r="C8" s="31">
        <v>500</v>
      </c>
      <c r="E8" s="54" t="s">
        <v>64</v>
      </c>
      <c r="F8" s="35">
        <f t="shared" ref="F8:K8" si="2">SUM(F9:F13)</f>
        <v>69.69</v>
      </c>
      <c r="G8" s="35">
        <f t="shared" si="2"/>
        <v>69.69</v>
      </c>
      <c r="H8" s="35">
        <f t="shared" si="2"/>
        <v>69.69</v>
      </c>
      <c r="I8" s="35">
        <f t="shared" si="2"/>
        <v>69.69</v>
      </c>
      <c r="J8" s="35">
        <f t="shared" si="2"/>
        <v>68.08</v>
      </c>
      <c r="K8" s="35">
        <f t="shared" si="2"/>
        <v>69.69</v>
      </c>
      <c r="M8" s="45" t="s">
        <v>5</v>
      </c>
      <c r="N8" s="57">
        <v>200</v>
      </c>
      <c r="O8" s="57">
        <v>200</v>
      </c>
      <c r="P8" s="57">
        <v>200</v>
      </c>
    </row>
    <row r="9" spans="1:17" ht="47.25" x14ac:dyDescent="0.25">
      <c r="A9" s="45" t="s">
        <v>32</v>
      </c>
      <c r="B9" s="52"/>
      <c r="C9" s="31">
        <v>1150</v>
      </c>
      <c r="E9" s="45" t="s">
        <v>24</v>
      </c>
      <c r="F9" s="34">
        <f t="shared" ref="F9:K9" si="3">$C$3*12*1.302/F4/F5</f>
        <v>49.33</v>
      </c>
      <c r="G9" s="34">
        <f t="shared" si="3"/>
        <v>49.33</v>
      </c>
      <c r="H9" s="34">
        <f t="shared" si="3"/>
        <v>49.33</v>
      </c>
      <c r="I9" s="34">
        <f t="shared" si="3"/>
        <v>49.33</v>
      </c>
      <c r="J9" s="34">
        <f t="shared" si="3"/>
        <v>48.1</v>
      </c>
      <c r="K9" s="34">
        <f t="shared" si="3"/>
        <v>49.33</v>
      </c>
      <c r="M9" s="76" t="s">
        <v>67</v>
      </c>
      <c r="N9" s="76"/>
      <c r="O9" s="76"/>
      <c r="P9" s="76"/>
    </row>
    <row r="10" spans="1:17" ht="47.25" x14ac:dyDescent="0.25">
      <c r="A10" s="45" t="s">
        <v>30</v>
      </c>
      <c r="B10" s="52"/>
      <c r="C10" s="30">
        <v>4.7699999999999996</v>
      </c>
      <c r="E10" s="45" t="s">
        <v>23</v>
      </c>
      <c r="F10" s="34">
        <f t="shared" ref="F10:K10" si="4">F9*$C$6</f>
        <v>14.8</v>
      </c>
      <c r="G10" s="34">
        <f t="shared" si="4"/>
        <v>14.8</v>
      </c>
      <c r="H10" s="34">
        <f t="shared" si="4"/>
        <v>14.8</v>
      </c>
      <c r="I10" s="34">
        <f t="shared" si="4"/>
        <v>14.8</v>
      </c>
      <c r="J10" s="34">
        <f t="shared" si="4"/>
        <v>14.43</v>
      </c>
      <c r="K10" s="34">
        <f t="shared" si="4"/>
        <v>14.8</v>
      </c>
      <c r="M10" s="48" t="s">
        <v>41</v>
      </c>
      <c r="N10" s="51">
        <f>MAX(F8:K8)*G19</f>
        <v>69.69</v>
      </c>
      <c r="O10" s="51">
        <f>MAX(F14:K14)*G19</f>
        <v>76.94</v>
      </c>
      <c r="P10" s="51">
        <f>MAX(F15:K15)*G19</f>
        <v>85.5</v>
      </c>
    </row>
    <row r="11" spans="1:17" ht="47.25" x14ac:dyDescent="0.25">
      <c r="A11" s="45" t="s">
        <v>28</v>
      </c>
      <c r="B11" s="52"/>
      <c r="C11" s="58"/>
      <c r="E11" s="45" t="s">
        <v>21</v>
      </c>
      <c r="F11" s="36">
        <f t="shared" ref="F11:K11" si="5">($C$8*14)/3/F4/F5+$C$9/F4/F5</f>
        <v>0.31</v>
      </c>
      <c r="G11" s="36">
        <f t="shared" si="5"/>
        <v>0.31</v>
      </c>
      <c r="H11" s="36">
        <f t="shared" si="5"/>
        <v>0.31</v>
      </c>
      <c r="I11" s="36">
        <f t="shared" si="5"/>
        <v>0.31</v>
      </c>
      <c r="J11" s="36">
        <f t="shared" si="5"/>
        <v>0.3</v>
      </c>
      <c r="K11" s="36">
        <f t="shared" si="5"/>
        <v>0.31</v>
      </c>
      <c r="M11" s="54" t="s">
        <v>38</v>
      </c>
      <c r="N11" s="28">
        <v>0</v>
      </c>
      <c r="O11" s="28">
        <v>0</v>
      </c>
      <c r="P11" s="28">
        <v>0</v>
      </c>
    </row>
    <row r="12" spans="1:17" ht="47.25" x14ac:dyDescent="0.25">
      <c r="A12" s="59" t="s">
        <v>26</v>
      </c>
      <c r="B12" s="45"/>
      <c r="C12" s="31">
        <v>60000</v>
      </c>
      <c r="E12" s="45" t="s">
        <v>20</v>
      </c>
      <c r="F12" s="34">
        <f t="shared" ref="F12:K12" si="6">((VLOOKUP(F3,$A$12:$C$17,3,FALSE))/7/$C$18/(AVERAGE(F6,F7)))+(($C$19*0.5)/5/$C$18)</f>
        <v>0.48</v>
      </c>
      <c r="G12" s="34">
        <f t="shared" si="6"/>
        <v>0.48</v>
      </c>
      <c r="H12" s="34">
        <f t="shared" si="6"/>
        <v>0.48</v>
      </c>
      <c r="I12" s="34">
        <f t="shared" si="6"/>
        <v>0.48</v>
      </c>
      <c r="J12" s="34">
        <f t="shared" si="6"/>
        <v>0.48</v>
      </c>
      <c r="K12" s="34">
        <f t="shared" si="6"/>
        <v>0.48</v>
      </c>
      <c r="M12" s="55" t="s">
        <v>52</v>
      </c>
      <c r="N12" s="56">
        <f>ROUNDUP(N11*N10,-1)</f>
        <v>0</v>
      </c>
      <c r="O12" s="56">
        <f t="shared" ref="O12:P12" si="7">ROUNDUP(O11*O10,-1)</f>
        <v>0</v>
      </c>
      <c r="P12" s="56">
        <f t="shared" si="7"/>
        <v>0</v>
      </c>
    </row>
    <row r="13" spans="1:17" ht="31.5" x14ac:dyDescent="0.25">
      <c r="A13" s="59" t="s">
        <v>25</v>
      </c>
      <c r="B13" s="45"/>
      <c r="C13" s="31">
        <v>60000</v>
      </c>
      <c r="E13" s="45" t="s">
        <v>19</v>
      </c>
      <c r="F13" s="34">
        <f t="shared" ref="F13:K13" si="8">$C$10</f>
        <v>4.7699999999999996</v>
      </c>
      <c r="G13" s="34">
        <f t="shared" si="8"/>
        <v>4.7699999999999996</v>
      </c>
      <c r="H13" s="34">
        <f t="shared" si="8"/>
        <v>4.7699999999999996</v>
      </c>
      <c r="I13" s="34">
        <f t="shared" si="8"/>
        <v>4.7699999999999996</v>
      </c>
      <c r="J13" s="34">
        <f t="shared" si="8"/>
        <v>4.7699999999999996</v>
      </c>
      <c r="K13" s="34">
        <f t="shared" si="8"/>
        <v>4.7699999999999996</v>
      </c>
      <c r="M13" s="45" t="s">
        <v>5</v>
      </c>
      <c r="N13" s="60">
        <v>0</v>
      </c>
      <c r="O13" s="60">
        <v>0</v>
      </c>
      <c r="P13" s="60">
        <v>0</v>
      </c>
    </row>
    <row r="14" spans="1:17" ht="31.5" x14ac:dyDescent="0.25">
      <c r="A14" s="59" t="s">
        <v>3</v>
      </c>
      <c r="B14" s="45"/>
      <c r="C14" s="31">
        <v>60000</v>
      </c>
      <c r="E14" s="54" t="s">
        <v>65</v>
      </c>
      <c r="F14" s="34">
        <f t="shared" ref="F14:K14" si="9">($C$4*12*1.302/F4/F5)*(1+$C$6)+(F11+F12+F13)*$C20</f>
        <v>76.94</v>
      </c>
      <c r="G14" s="34">
        <f t="shared" si="9"/>
        <v>76.94</v>
      </c>
      <c r="H14" s="34">
        <f t="shared" si="9"/>
        <v>76.94</v>
      </c>
      <c r="I14" s="34">
        <f t="shared" si="9"/>
        <v>76.94</v>
      </c>
      <c r="J14" s="34">
        <f t="shared" si="9"/>
        <v>75.150000000000006</v>
      </c>
      <c r="K14" s="34">
        <f t="shared" si="9"/>
        <v>76.94</v>
      </c>
      <c r="M14" s="82" t="s">
        <v>71</v>
      </c>
      <c r="N14" s="76"/>
      <c r="O14" s="76"/>
      <c r="P14" s="76"/>
    </row>
    <row r="15" spans="1:17" ht="31.5" x14ac:dyDescent="0.25">
      <c r="A15" s="59" t="s">
        <v>22</v>
      </c>
      <c r="B15" s="45"/>
      <c r="C15" s="31">
        <v>60000</v>
      </c>
      <c r="E15" s="54" t="s">
        <v>66</v>
      </c>
      <c r="F15" s="34">
        <f t="shared" ref="F15:K15" si="10">($C$5*12*1.302/F4/F5)*(1+$C$6)+(F12+F13+F11)*$C21</f>
        <v>85.5</v>
      </c>
      <c r="G15" s="34">
        <f t="shared" si="10"/>
        <v>85.5</v>
      </c>
      <c r="H15" s="34">
        <f t="shared" si="10"/>
        <v>85.5</v>
      </c>
      <c r="I15" s="34">
        <f t="shared" si="10"/>
        <v>85.5</v>
      </c>
      <c r="J15" s="34">
        <f t="shared" si="10"/>
        <v>83.5</v>
      </c>
      <c r="K15" s="34">
        <f t="shared" si="10"/>
        <v>85.5</v>
      </c>
      <c r="M15" s="48" t="s">
        <v>41</v>
      </c>
      <c r="N15" s="51">
        <f>MAX(F8:K8)</f>
        <v>69.69</v>
      </c>
      <c r="O15" s="51">
        <f>MAX(F14:K14)</f>
        <v>76.94</v>
      </c>
      <c r="P15" s="51">
        <f>MAX(F15:K15)</f>
        <v>85.5</v>
      </c>
    </row>
    <row r="16" spans="1:17" ht="31.5" customHeight="1" x14ac:dyDescent="0.25">
      <c r="A16" s="59" t="s">
        <v>4</v>
      </c>
      <c r="B16" s="45"/>
      <c r="C16" s="31">
        <v>60000</v>
      </c>
      <c r="H16" s="61"/>
      <c r="I16" s="61"/>
      <c r="J16" s="61"/>
      <c r="K16" s="61"/>
      <c r="M16" s="54" t="s">
        <v>38</v>
      </c>
      <c r="N16" s="28">
        <v>0</v>
      </c>
      <c r="O16" s="28">
        <v>0</v>
      </c>
      <c r="P16" s="28">
        <v>0</v>
      </c>
      <c r="Q16" s="62"/>
    </row>
    <row r="17" spans="1:17" ht="47.25" x14ac:dyDescent="0.25">
      <c r="A17" s="59" t="s">
        <v>68</v>
      </c>
      <c r="B17" s="63"/>
      <c r="C17" s="31">
        <v>60000</v>
      </c>
      <c r="E17" s="64" t="s">
        <v>45</v>
      </c>
      <c r="F17" s="64">
        <f>F4/(F6+F7)*2*(F5/36)</f>
        <v>24.96</v>
      </c>
      <c r="G17" s="64">
        <f t="shared" ref="G17:K17" si="11">G4/(G6+G7)*2*(G5/36)</f>
        <v>24.96</v>
      </c>
      <c r="H17" s="64">
        <f>H4/(H6+H7)*2*(H5/36)</f>
        <v>24.96</v>
      </c>
      <c r="I17" s="64">
        <f t="shared" si="11"/>
        <v>24.96</v>
      </c>
      <c r="J17" s="64">
        <f t="shared" si="11"/>
        <v>25.6</v>
      </c>
      <c r="K17" s="64">
        <f t="shared" si="11"/>
        <v>24.96</v>
      </c>
      <c r="M17" s="55" t="s">
        <v>52</v>
      </c>
      <c r="N17" s="56">
        <f>ROUNDUP(N16*N15*G23,-1)</f>
        <v>0</v>
      </c>
      <c r="O17" s="56">
        <f>ROUNDUP(O16*O15*G23,-1)</f>
        <v>0</v>
      </c>
      <c r="P17" s="56">
        <f>ROUNDUP(P16*P15*G23,-1)</f>
        <v>0</v>
      </c>
    </row>
    <row r="18" spans="1:17" ht="48.75" x14ac:dyDescent="0.35">
      <c r="A18" s="63" t="s">
        <v>18</v>
      </c>
      <c r="B18" s="52"/>
      <c r="C18" s="31">
        <v>1440</v>
      </c>
      <c r="E18" s="77" t="s">
        <v>48</v>
      </c>
      <c r="F18" s="77"/>
      <c r="G18" s="77"/>
      <c r="H18" s="77"/>
      <c r="I18" s="77"/>
      <c r="J18" s="77"/>
      <c r="K18" s="77"/>
      <c r="M18" s="45" t="s">
        <v>5</v>
      </c>
      <c r="N18" s="60">
        <v>0</v>
      </c>
      <c r="O18" s="60">
        <v>0</v>
      </c>
      <c r="P18" s="60">
        <v>0</v>
      </c>
    </row>
    <row r="19" spans="1:17" ht="31.5" customHeight="1" x14ac:dyDescent="0.25">
      <c r="A19" s="63" t="s">
        <v>17</v>
      </c>
      <c r="B19" s="52"/>
      <c r="C19" s="30">
        <v>0</v>
      </c>
      <c r="E19" s="75" t="s">
        <v>49</v>
      </c>
      <c r="F19" s="75"/>
      <c r="G19" s="81">
        <v>1</v>
      </c>
      <c r="M19" s="37" t="s">
        <v>43</v>
      </c>
      <c r="N19" s="38">
        <f>N7*N8+N12*N13+N17*N18</f>
        <v>3012000</v>
      </c>
      <c r="O19" s="38">
        <f t="shared" ref="O19:P19" si="12">O7*O8+O12*O13+O17*O18</f>
        <v>3324000</v>
      </c>
      <c r="P19" s="38">
        <f t="shared" si="12"/>
        <v>3694000</v>
      </c>
      <c r="Q19" s="62"/>
    </row>
    <row r="20" spans="1:17" ht="33" customHeight="1" x14ac:dyDescent="0.25">
      <c r="A20" s="87" t="s">
        <v>37</v>
      </c>
      <c r="B20" s="46">
        <v>2024</v>
      </c>
      <c r="C20" s="65">
        <v>1.04</v>
      </c>
      <c r="E20" s="75"/>
      <c r="F20" s="75"/>
      <c r="G20" s="81"/>
      <c r="J20" s="61"/>
      <c r="K20" s="66"/>
      <c r="M20" s="67" t="s">
        <v>42</v>
      </c>
      <c r="N20" s="68"/>
      <c r="O20" s="69"/>
      <c r="P20" s="69"/>
    </row>
    <row r="21" spans="1:17" ht="33" customHeight="1" x14ac:dyDescent="0.25">
      <c r="A21" s="87"/>
      <c r="B21" s="46">
        <v>2025</v>
      </c>
      <c r="C21" s="65">
        <v>1.04</v>
      </c>
      <c r="E21" s="75" t="s">
        <v>50</v>
      </c>
      <c r="F21" s="75"/>
      <c r="G21" s="70">
        <v>1</v>
      </c>
      <c r="M21" s="79" t="s">
        <v>69</v>
      </c>
      <c r="N21" s="39">
        <f>N19-('Стандартные программы'!L36+'Дистанционные программы'!L39+'Очно-заочные программы'!L39+'Адаптированные программы'!L39)</f>
        <v>70944</v>
      </c>
      <c r="O21" s="39">
        <f>N21/N19*O19</f>
        <v>78293</v>
      </c>
      <c r="P21" s="39">
        <f>N21/N19*P19</f>
        <v>87008</v>
      </c>
    </row>
    <row r="22" spans="1:17" ht="33" customHeight="1" x14ac:dyDescent="0.25">
      <c r="E22" s="75" t="s">
        <v>51</v>
      </c>
      <c r="F22" s="75"/>
      <c r="G22" s="70">
        <v>1</v>
      </c>
      <c r="M22" s="80"/>
      <c r="N22" s="40">
        <f>N21/N19</f>
        <v>2.4E-2</v>
      </c>
      <c r="O22" s="40">
        <f t="shared" ref="O22:P22" si="13">O21/O19</f>
        <v>2.4E-2</v>
      </c>
      <c r="P22" s="40">
        <f t="shared" si="13"/>
        <v>2.4E-2</v>
      </c>
    </row>
    <row r="23" spans="1:17" x14ac:dyDescent="0.25">
      <c r="E23" s="83" t="s">
        <v>72</v>
      </c>
      <c r="F23" s="83"/>
      <c r="G23" s="71"/>
      <c r="M23" s="78" t="s">
        <v>53</v>
      </c>
      <c r="N23" s="78"/>
      <c r="O23" s="78"/>
      <c r="P23" s="78"/>
    </row>
  </sheetData>
  <sheetProtection algorithmName="SHA-512" hashValue="PVfzomX+2s0ncUyluMWP1CI04Fs8XAL3+whteJLmCym0o4RB9PeuQEojCizICZWl6zKApsnrPiNqPdyVUKGzzA==" saltValue="n6EDu/clO3KvwB12/MgYEw==" spinCount="100000" sheet="1" formatCells="0" formatColumns="0" formatRows="0" insertColumns="0" insertRows="0" insertHyperlinks="0" deleteColumns="0" deleteRows="0" sort="0" autoFilter="0" pivotTables="0"/>
  <mergeCells count="17">
    <mergeCell ref="A3:A5"/>
    <mergeCell ref="F1:H1"/>
    <mergeCell ref="A7:C7"/>
    <mergeCell ref="A20:A21"/>
    <mergeCell ref="A1:B1"/>
    <mergeCell ref="C1:E1"/>
    <mergeCell ref="E19:F20"/>
    <mergeCell ref="E21:F21"/>
    <mergeCell ref="E22:F22"/>
    <mergeCell ref="M4:P4"/>
    <mergeCell ref="M9:P9"/>
    <mergeCell ref="E18:K18"/>
    <mergeCell ref="M23:P23"/>
    <mergeCell ref="M21:M22"/>
    <mergeCell ref="G19:G20"/>
    <mergeCell ref="M14:P14"/>
    <mergeCell ref="E23:F23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1A963CDD-BA55-4139-BAFD-CE454C4437A1}">
            <x14:iconSet iconSet="3Arrows" custom="1">
              <x14:cfvo type="percent">
                <xm:f>0</xm:f>
              </x14:cfvo>
              <x14:cfvo type="num">
                <xm:f>-0.1</xm:f>
              </x14:cfvo>
              <x14:cfvo type="num">
                <xm:f>0.1</xm:f>
              </x14:cfvo>
              <x14:cfIcon iconSet="3Arrows" iconId="0"/>
              <x14:cfIcon iconSet="3Arrows" iconId="1"/>
              <x14:cfIcon iconSet="3Arrows" iconId="2"/>
            </x14:iconSet>
          </x14:cfRule>
          <xm:sqref>A3</xm:sqref>
        </x14:conditionalFormatting>
        <x14:conditionalFormatting xmlns:xm="http://schemas.microsoft.com/office/excel/2006/main">
          <x14:cfRule type="iconSet" priority="7" id="{079F67A4-1CF8-46C9-B5F8-0DD3BA8FBA18}">
            <x14:iconSet iconSet="3Arrows" custom="1">
              <x14:cfvo type="percent">
                <xm:f>0</xm:f>
              </x14:cfvo>
              <x14:cfvo type="num">
                <xm:f>-0.1</xm:f>
              </x14:cfvo>
              <x14:cfvo type="num">
                <xm:f>0.1</xm:f>
              </x14:cfvo>
              <x14:cfIcon iconSet="3Arrows" iconId="0"/>
              <x14:cfIcon iconSet="3Arrows" iconId="1"/>
              <x14:cfIcon iconSet="3Arrows" iconId="2"/>
            </x14:iconSet>
          </x14:cfRule>
          <xm:sqref>F1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zoomScale="70" zoomScaleNormal="70" workbookViewId="0">
      <selection activeCell="I2" sqref="I2"/>
    </sheetView>
  </sheetViews>
  <sheetFormatPr defaultColWidth="11" defaultRowHeight="15.75" x14ac:dyDescent="0.25"/>
  <cols>
    <col min="1" max="1" width="25.375" style="9" customWidth="1"/>
    <col min="2" max="2" width="34.5" style="9" customWidth="1"/>
    <col min="3" max="3" width="25.25" style="9" customWidth="1"/>
    <col min="4" max="4" width="11.5" style="9" customWidth="1"/>
    <col min="5" max="5" width="12.875" style="9" customWidth="1"/>
    <col min="6" max="6" width="12.125" style="10" customWidth="1"/>
    <col min="7" max="7" width="11.5" style="10" customWidth="1"/>
    <col min="8" max="8" width="12.5" style="11" customWidth="1"/>
    <col min="9" max="9" width="11.125" style="8" customWidth="1"/>
    <col min="10" max="10" width="12" style="8" customWidth="1"/>
    <col min="11" max="11" width="15.625" customWidth="1"/>
    <col min="12" max="12" width="15.375" style="8" customWidth="1"/>
    <col min="13" max="13" width="16.25" style="8" customWidth="1"/>
    <col min="14" max="14" width="19" style="22" customWidth="1"/>
  </cols>
  <sheetData>
    <row r="1" spans="1:14" s="1" customFormat="1" ht="78.75" x14ac:dyDescent="0.25">
      <c r="A1" s="12" t="s">
        <v>8</v>
      </c>
      <c r="B1" s="12" t="s">
        <v>9</v>
      </c>
      <c r="C1" s="12" t="s">
        <v>7</v>
      </c>
      <c r="D1" s="13" t="s">
        <v>6</v>
      </c>
      <c r="E1" s="13" t="s">
        <v>60</v>
      </c>
      <c r="F1" s="13" t="s">
        <v>13</v>
      </c>
      <c r="G1" s="13" t="s">
        <v>10</v>
      </c>
      <c r="H1" s="14" t="s">
        <v>14</v>
      </c>
      <c r="I1" s="15" t="s">
        <v>11</v>
      </c>
      <c r="J1" s="15" t="s">
        <v>61</v>
      </c>
      <c r="K1" s="23" t="s">
        <v>62</v>
      </c>
      <c r="L1" s="15" t="s">
        <v>15</v>
      </c>
      <c r="M1" s="15" t="s">
        <v>16</v>
      </c>
      <c r="N1" s="19" t="s">
        <v>63</v>
      </c>
    </row>
    <row r="2" spans="1:14" x14ac:dyDescent="0.25">
      <c r="A2" s="2" t="s">
        <v>73</v>
      </c>
      <c r="B2" s="2" t="s">
        <v>74</v>
      </c>
      <c r="C2" s="2" t="s">
        <v>4</v>
      </c>
      <c r="D2" s="16">
        <v>36</v>
      </c>
      <c r="E2" s="16">
        <v>36</v>
      </c>
      <c r="F2" s="17">
        <v>6</v>
      </c>
      <c r="G2" s="17">
        <v>35</v>
      </c>
      <c r="H2" s="18">
        <v>75.650000000000006</v>
      </c>
      <c r="I2" s="3">
        <f>HLOOKUP($C2,'Параметры ПФ'!$F$3:$K$8,6,FALSE)</f>
        <v>68.08</v>
      </c>
      <c r="J2" s="3">
        <f>IF(H2=0,I2*F2*E2,IF(I2&gt;H2,H2*F2*E2,I2*F2*E2))</f>
        <v>14705.28</v>
      </c>
      <c r="K2" s="4">
        <f>IF(J2&lt;'Параметры ПФ'!$N$7+0.01,'Стандартные программы'!J2,ROUNDDOWN('Параметры ПФ'!$N$7/IF(H2=0,I2,IF(I2&gt;H2,H2,I2)),0)*IF(H2=0,I2,IF(I2&gt;H2,H2,I2)))</f>
        <v>14705.28</v>
      </c>
      <c r="L2" s="3">
        <f t="shared" ref="L2:L35" si="0">K2*G2</f>
        <v>514684.8</v>
      </c>
      <c r="M2" s="26">
        <f>IF(J2&lt;'Параметры ПФ'!$N$7+0.01,E2*F2*G2,ROUNDDOWN('Параметры ПФ'!$N$7/IF(H2=0,I2,IF(I2&gt;H2,H2,I2)),0)*G2)</f>
        <v>7560</v>
      </c>
      <c r="N2" s="20">
        <f>IF(H2=0,I2*F2*E2,IF(I2&gt;H2,H2*F2*E2,I2*F2*E2))-K2</f>
        <v>0</v>
      </c>
    </row>
    <row r="3" spans="1:14" x14ac:dyDescent="0.25">
      <c r="A3" s="2" t="s">
        <v>73</v>
      </c>
      <c r="B3" s="2" t="s">
        <v>74</v>
      </c>
      <c r="C3" s="2" t="s">
        <v>4</v>
      </c>
      <c r="D3" s="16">
        <v>36</v>
      </c>
      <c r="E3" s="16">
        <v>36</v>
      </c>
      <c r="F3" s="17">
        <v>6</v>
      </c>
      <c r="G3" s="17">
        <v>35</v>
      </c>
      <c r="H3" s="18">
        <v>75.650000000000006</v>
      </c>
      <c r="I3" s="3">
        <f>HLOOKUP($C3,'Параметры ПФ'!$F$3:$K$8,6,FALSE)</f>
        <v>68.08</v>
      </c>
      <c r="J3" s="3">
        <f>IF(H3=0,I3*F3*E3,IF(I3&gt;H3,H3*F3*E3,I3*F3*E3))</f>
        <v>14705.28</v>
      </c>
      <c r="K3" s="4">
        <f>IF(J3&lt;'Параметры ПФ'!$N$7+0.01,'Стандартные программы'!J3,ROUNDDOWN('Параметры ПФ'!$N$7/IF(H3=0,I3,IF(I3&gt;H3,H3,I3)),0)*IF(H3=0,I3,IF(I3&gt;H3,H3,I3)))</f>
        <v>14705.28</v>
      </c>
      <c r="L3" s="3">
        <f t="shared" si="0"/>
        <v>514684.8</v>
      </c>
      <c r="M3" s="26">
        <f>IF(J3&lt;'Параметры ПФ'!$N$7+0.01,E3*F3*G3,ROUNDDOWN('Параметры ПФ'!$N$7/IF(H3=0,I3,IF(I3&gt;H3,H3,I3)),0)*G3)</f>
        <v>7560</v>
      </c>
      <c r="N3" s="20">
        <f>IF(H3=0,I3*F3*E3,IF(I3&gt;H3,H3*F3*E3,I3*F3*E3))-K3</f>
        <v>0</v>
      </c>
    </row>
    <row r="4" spans="1:14" x14ac:dyDescent="0.25">
      <c r="A4" s="2" t="s">
        <v>75</v>
      </c>
      <c r="B4" s="2" t="s">
        <v>74</v>
      </c>
      <c r="C4" s="2" t="s">
        <v>4</v>
      </c>
      <c r="D4" s="16">
        <v>36</v>
      </c>
      <c r="E4" s="16">
        <v>36</v>
      </c>
      <c r="F4" s="17">
        <v>6</v>
      </c>
      <c r="G4" s="17">
        <v>35</v>
      </c>
      <c r="H4" s="18">
        <v>75.650000000000006</v>
      </c>
      <c r="I4" s="3">
        <f>HLOOKUP($C4,'Параметры ПФ'!$F$3:$K$8,6,FALSE)</f>
        <v>68.08</v>
      </c>
      <c r="J4" s="3">
        <f>IF(H4=0,I4*F4*E4,IF(I4&gt;H4,H4*F4*E4,I4*F4*E4))</f>
        <v>14705.28</v>
      </c>
      <c r="K4" s="4">
        <f>IF(J4&lt;'Параметры ПФ'!$N$7+0.01,'Стандартные программы'!J4,ROUNDDOWN('Параметры ПФ'!$N$7/IF(H4=0,I4,IF(I4&gt;H4,H4,I4)),0)*IF(H4=0,I4,IF(I4&gt;H4,H4,I4)))</f>
        <v>14705.28</v>
      </c>
      <c r="L4" s="3">
        <f t="shared" ref="L4" si="1">K4*G4</f>
        <v>514684.8</v>
      </c>
      <c r="M4" s="26">
        <f>IF(J4&lt;'Параметры ПФ'!$N$7+0.01,E4*F4*G4,ROUNDDOWN('Параметры ПФ'!$N$7/IF(H4=0,I4,IF(I4&gt;H4,H4,I4)),0)*G4)</f>
        <v>7560</v>
      </c>
      <c r="N4" s="20">
        <f>IF(H4=0,I4*F4*E4,IF(I4&gt;H4,H4*F4*E4,I4*F4*E4))-K4</f>
        <v>0</v>
      </c>
    </row>
    <row r="5" spans="1:14" x14ac:dyDescent="0.25">
      <c r="A5" s="2" t="s">
        <v>75</v>
      </c>
      <c r="B5" s="2" t="s">
        <v>74</v>
      </c>
      <c r="C5" s="2" t="s">
        <v>4</v>
      </c>
      <c r="D5" s="16">
        <v>36</v>
      </c>
      <c r="E5" s="16">
        <v>36</v>
      </c>
      <c r="F5" s="17">
        <v>6</v>
      </c>
      <c r="G5" s="17">
        <v>30</v>
      </c>
      <c r="H5" s="18">
        <v>75.650000000000006</v>
      </c>
      <c r="I5" s="3">
        <f>HLOOKUP($C5,'Параметры ПФ'!$F$3:$K$8,6,FALSE)</f>
        <v>68.08</v>
      </c>
      <c r="J5" s="3">
        <f t="shared" ref="J5:J35" si="2">IF(H5=0,I5*F5*E5,IF(I5&gt;H5,H5*F5*E5,I5*F5*E5))</f>
        <v>14705.28</v>
      </c>
      <c r="K5" s="4">
        <f>IF(J5&lt;'Параметры ПФ'!$N$7+0.01,'Стандартные программы'!J5,ROUNDDOWN('Параметры ПФ'!$N$7/IF(H5=0,I5,IF(I5&gt;H5,H5,I5)),0)*IF(H5=0,I5,IF(I5&gt;H5,H5,I5)))</f>
        <v>14705.28</v>
      </c>
      <c r="L5" s="3">
        <f t="shared" si="0"/>
        <v>441158.40000000002</v>
      </c>
      <c r="M5" s="26">
        <f>IF(J5&lt;'Параметры ПФ'!$N$7+0.01,E5*F5*G5,ROUNDDOWN('Параметры ПФ'!$N$7/IF(H5=0,I5,IF(I5&gt;H5,H5,I5)),0)*G5)</f>
        <v>6480</v>
      </c>
      <c r="N5" s="20">
        <f t="shared" ref="N5:N10" si="3">IF(H5=0,I5*F5*E5,IF(I5&gt;H5,H5*F5*E5,I5*F5*E5))-K5</f>
        <v>0</v>
      </c>
    </row>
    <row r="6" spans="1:14" x14ac:dyDescent="0.25">
      <c r="A6" s="2" t="s">
        <v>76</v>
      </c>
      <c r="B6" s="2" t="s">
        <v>74</v>
      </c>
      <c r="C6" s="2" t="s">
        <v>4</v>
      </c>
      <c r="D6" s="16">
        <v>36</v>
      </c>
      <c r="E6" s="16">
        <v>36</v>
      </c>
      <c r="F6" s="17">
        <v>6</v>
      </c>
      <c r="G6" s="17">
        <v>30</v>
      </c>
      <c r="H6" s="18">
        <v>75.650000000000006</v>
      </c>
      <c r="I6" s="3">
        <f>HLOOKUP($C6,'Параметры ПФ'!$F$3:$K$8,6,FALSE)</f>
        <v>68.08</v>
      </c>
      <c r="J6" s="3">
        <f t="shared" ref="J6:J7" si="4">IF(H6=0,I6*F6*E6,IF(I6&gt;H6,H6*F6*E6,I6*F6*E6))</f>
        <v>14705.28</v>
      </c>
      <c r="K6" s="4">
        <f>IF(J6&lt;'Параметры ПФ'!$N$7+0.01,'Стандартные программы'!J6,ROUNDDOWN('Параметры ПФ'!$N$7/IF(H6=0,I6,IF(I6&gt;H6,H6,I6)),0)*IF(H6=0,I6,IF(I6&gt;H6,H6,I6)))</f>
        <v>14705.28</v>
      </c>
      <c r="L6" s="3">
        <f t="shared" ref="L6:L7" si="5">K6*G6</f>
        <v>441158.40000000002</v>
      </c>
      <c r="M6" s="26">
        <f>IF(J6&lt;'Параметры ПФ'!$N$7+0.01,E6*F6*G6,ROUNDDOWN('Параметры ПФ'!$N$7/IF(H6=0,I6,IF(I6&gt;H6,H6,I6)),0)*G6)</f>
        <v>6480</v>
      </c>
      <c r="N6" s="20">
        <f t="shared" si="3"/>
        <v>0</v>
      </c>
    </row>
    <row r="7" spans="1:14" x14ac:dyDescent="0.25">
      <c r="A7" s="2" t="s">
        <v>76</v>
      </c>
      <c r="B7" s="2" t="s">
        <v>74</v>
      </c>
      <c r="C7" s="2" t="s">
        <v>4</v>
      </c>
      <c r="D7" s="16">
        <v>36</v>
      </c>
      <c r="E7" s="16">
        <v>36</v>
      </c>
      <c r="F7" s="17">
        <v>6</v>
      </c>
      <c r="G7" s="17">
        <v>35</v>
      </c>
      <c r="H7" s="18">
        <v>75.650000000000006</v>
      </c>
      <c r="I7" s="3">
        <f>HLOOKUP($C7,'Параметры ПФ'!$F$3:$K$8,6,FALSE)</f>
        <v>68.08</v>
      </c>
      <c r="J7" s="3">
        <f t="shared" si="4"/>
        <v>14705.28</v>
      </c>
      <c r="K7" s="4">
        <f>IF(J7&lt;'Параметры ПФ'!$N$7+0.01,'Стандартные программы'!J7,ROUNDDOWN('Параметры ПФ'!$N$7/IF(H7=0,I7,IF(I7&gt;H7,H7,I7)),0)*IF(H7=0,I7,IF(I7&gt;H7,H7,I7)))</f>
        <v>14705.28</v>
      </c>
      <c r="L7" s="3">
        <f t="shared" si="5"/>
        <v>514684.8</v>
      </c>
      <c r="M7" s="26">
        <f>IF(J7&lt;'Параметры ПФ'!$N$7+0.01,E7*F7*G7,ROUNDDOWN('Параметры ПФ'!$N$7/IF(H7=0,I7,IF(I7&gt;H7,H7,I7)),0)*G7)</f>
        <v>7560</v>
      </c>
      <c r="N7" s="20">
        <f t="shared" si="3"/>
        <v>0</v>
      </c>
    </row>
    <row r="8" spans="1:14" x14ac:dyDescent="0.25">
      <c r="A8" s="2" t="s">
        <v>1</v>
      </c>
      <c r="B8" s="2"/>
      <c r="C8" s="2" t="s">
        <v>68</v>
      </c>
      <c r="D8" s="16"/>
      <c r="E8" s="16"/>
      <c r="F8" s="17"/>
      <c r="G8" s="17"/>
      <c r="H8" s="18"/>
      <c r="I8" s="3"/>
      <c r="J8" s="3"/>
      <c r="K8" s="4"/>
      <c r="L8" s="3"/>
      <c r="M8" s="26"/>
      <c r="N8" s="20">
        <f t="shared" si="3"/>
        <v>0</v>
      </c>
    </row>
    <row r="9" spans="1:14" x14ac:dyDescent="0.25">
      <c r="A9" s="2" t="s">
        <v>2</v>
      </c>
      <c r="B9" s="2"/>
      <c r="C9" s="2" t="s">
        <v>4</v>
      </c>
      <c r="D9" s="16"/>
      <c r="E9" s="16"/>
      <c r="F9" s="17"/>
      <c r="G9" s="17"/>
      <c r="H9" s="18"/>
      <c r="I9" s="3"/>
      <c r="J9" s="3"/>
      <c r="K9" s="4"/>
      <c r="L9" s="3"/>
      <c r="M9" s="26"/>
      <c r="N9" s="20">
        <f t="shared" si="3"/>
        <v>0</v>
      </c>
    </row>
    <row r="10" spans="1:14" x14ac:dyDescent="0.25">
      <c r="A10" s="2" t="s">
        <v>2</v>
      </c>
      <c r="B10" s="2"/>
      <c r="C10" s="2" t="s">
        <v>22</v>
      </c>
      <c r="D10" s="16"/>
      <c r="E10" s="16"/>
      <c r="F10" s="17"/>
      <c r="G10" s="17"/>
      <c r="H10" s="18"/>
      <c r="I10" s="3"/>
      <c r="J10" s="3"/>
      <c r="K10" s="4"/>
      <c r="L10" s="3"/>
      <c r="M10" s="26"/>
      <c r="N10" s="20">
        <f t="shared" si="3"/>
        <v>0</v>
      </c>
    </row>
    <row r="11" spans="1:14" x14ac:dyDescent="0.25">
      <c r="A11" s="2" t="s">
        <v>2</v>
      </c>
      <c r="B11" s="2"/>
      <c r="C11" s="2" t="s">
        <v>4</v>
      </c>
      <c r="D11" s="16"/>
      <c r="E11" s="16"/>
      <c r="F11" s="17"/>
      <c r="G11" s="17"/>
      <c r="H11" s="18"/>
      <c r="I11" s="3"/>
      <c r="J11" s="3"/>
      <c r="K11" s="4"/>
      <c r="L11" s="3"/>
      <c r="M11" s="26"/>
      <c r="N11" s="20">
        <f t="shared" ref="N11" si="6">IF(H11=0,I11*F11*E11,IF(I11&gt;H11,H11*F11*E11,I11*F11*E11))-K11</f>
        <v>0</v>
      </c>
    </row>
    <row r="12" spans="1:14" x14ac:dyDescent="0.25">
      <c r="A12" s="2" t="s">
        <v>2</v>
      </c>
      <c r="B12" s="2"/>
      <c r="C12" s="2" t="s">
        <v>4</v>
      </c>
      <c r="D12" s="16"/>
      <c r="E12" s="16"/>
      <c r="F12" s="17"/>
      <c r="G12" s="17"/>
      <c r="H12" s="18"/>
      <c r="I12" s="3">
        <f>HLOOKUP($C12,'Параметры ПФ'!$F$3:$K$8,6,FALSE)</f>
        <v>68.08</v>
      </c>
      <c r="J12" s="3">
        <f t="shared" si="2"/>
        <v>0</v>
      </c>
      <c r="K12" s="4">
        <f>IF(J12&lt;'Параметры ПФ'!$N$7+0.01,'Стандартные программы'!J12,ROUNDDOWN('Параметры ПФ'!$N$7/IF(H12=0,I12,IF(I12&gt;H12,H12,I12)),0)*IF(H12=0,I12,IF(I12&gt;H12,H12,I12)))</f>
        <v>0</v>
      </c>
      <c r="L12" s="3">
        <f t="shared" si="0"/>
        <v>0</v>
      </c>
      <c r="M12" s="26">
        <f>IF(J12&lt;'Параметры ПФ'!$N$7+0.01,E12*F12*G12,ROUNDDOWN('Параметры ПФ'!$N$7/IF(H12=0,I12,IF(I12&gt;H12,H12,I12)),0)*G12)</f>
        <v>0</v>
      </c>
      <c r="N12" s="20">
        <f t="shared" ref="N12:N35" si="7">IF(H12=0,I12*F12*E12,IF(I12&gt;H12,H12*F12*E12,I12*F12*E12))-K12</f>
        <v>0</v>
      </c>
    </row>
    <row r="13" spans="1:14" x14ac:dyDescent="0.25">
      <c r="A13" s="2" t="s">
        <v>2</v>
      </c>
      <c r="B13" s="2"/>
      <c r="C13" s="2" t="s">
        <v>4</v>
      </c>
      <c r="D13" s="16"/>
      <c r="E13" s="16"/>
      <c r="F13" s="17"/>
      <c r="G13" s="17"/>
      <c r="H13" s="18"/>
      <c r="I13" s="3">
        <f>HLOOKUP($C13,'Параметры ПФ'!$F$3:$K$8,6,FALSE)</f>
        <v>68.08</v>
      </c>
      <c r="J13" s="3">
        <f t="shared" si="2"/>
        <v>0</v>
      </c>
      <c r="K13" s="4">
        <f>IF(J13&lt;'Параметры ПФ'!$N$7+0.01,'Стандартные программы'!J13,ROUNDDOWN('Параметры ПФ'!$N$7/IF(H13=0,I13,IF(I13&gt;H13,H13,I13)),0)*IF(H13=0,I13,IF(I13&gt;H13,H13,I13)))</f>
        <v>0</v>
      </c>
      <c r="L13" s="3">
        <f t="shared" si="0"/>
        <v>0</v>
      </c>
      <c r="M13" s="26">
        <f>IF(J13&lt;'Параметры ПФ'!$N$7+0.01,E13*F13*G13,ROUNDDOWN('Параметры ПФ'!$N$7/IF(H13=0,I13,IF(I13&gt;H13,H13,I13)),0)*G13)</f>
        <v>0</v>
      </c>
      <c r="N13" s="20">
        <f t="shared" si="7"/>
        <v>0</v>
      </c>
    </row>
    <row r="14" spans="1:14" x14ac:dyDescent="0.25">
      <c r="A14" s="2" t="s">
        <v>2</v>
      </c>
      <c r="B14" s="2"/>
      <c r="C14" s="2" t="s">
        <v>4</v>
      </c>
      <c r="D14" s="16"/>
      <c r="E14" s="16"/>
      <c r="F14" s="17"/>
      <c r="G14" s="17"/>
      <c r="H14" s="18"/>
      <c r="I14" s="3">
        <f>HLOOKUP($C14,'Параметры ПФ'!$F$3:$K$8,6,FALSE)</f>
        <v>68.08</v>
      </c>
      <c r="J14" s="3">
        <f t="shared" si="2"/>
        <v>0</v>
      </c>
      <c r="K14" s="4">
        <f>IF(J14&lt;'Параметры ПФ'!$N$7+0.01,'Стандартные программы'!J14,ROUNDDOWN('Параметры ПФ'!$N$7/IF(H14=0,I14,IF(I14&gt;H14,H14,I14)),0)*IF(H14=0,I14,IF(I14&gt;H14,H14,I14)))</f>
        <v>0</v>
      </c>
      <c r="L14" s="3">
        <f t="shared" si="0"/>
        <v>0</v>
      </c>
      <c r="M14" s="26">
        <f>IF(J14&lt;'Параметры ПФ'!$N$7+0.01,E14*F14*G14,ROUNDDOWN('Параметры ПФ'!$N$7/IF(H14=0,I14,IF(I14&gt;H14,H14,I14)),0)*G14)</f>
        <v>0</v>
      </c>
      <c r="N14" s="20">
        <f t="shared" si="7"/>
        <v>0</v>
      </c>
    </row>
    <row r="15" spans="1:14" x14ac:dyDescent="0.25">
      <c r="A15" s="2" t="s">
        <v>2</v>
      </c>
      <c r="B15" s="2"/>
      <c r="C15" s="2" t="s">
        <v>4</v>
      </c>
      <c r="D15" s="16"/>
      <c r="E15" s="16"/>
      <c r="F15" s="17"/>
      <c r="G15" s="17"/>
      <c r="H15" s="18"/>
      <c r="I15" s="3">
        <f>HLOOKUP($C15,'Параметры ПФ'!$F$3:$K$8,6,FALSE)</f>
        <v>68.08</v>
      </c>
      <c r="J15" s="3">
        <f t="shared" si="2"/>
        <v>0</v>
      </c>
      <c r="K15" s="4">
        <f>IF(J15&lt;'Параметры ПФ'!$N$7+0.01,'Стандартные программы'!J15,ROUNDDOWN('Параметры ПФ'!$N$7/IF(H15=0,I15,IF(I15&gt;H15,H15,I15)),0)*IF(H15=0,I15,IF(I15&gt;H15,H15,I15)))</f>
        <v>0</v>
      </c>
      <c r="L15" s="3">
        <f t="shared" si="0"/>
        <v>0</v>
      </c>
      <c r="M15" s="26">
        <f>IF(J15&lt;'Параметры ПФ'!$N$7+0.01,E15*F15*G15,ROUNDDOWN('Параметры ПФ'!$N$7/IF(H15=0,I15,IF(I15&gt;H15,H15,I15)),0)*G15)</f>
        <v>0</v>
      </c>
      <c r="N15" s="20">
        <f t="shared" si="7"/>
        <v>0</v>
      </c>
    </row>
    <row r="16" spans="1:14" x14ac:dyDescent="0.25">
      <c r="A16" s="2" t="s">
        <v>2</v>
      </c>
      <c r="B16" s="2"/>
      <c r="C16" s="2" t="s">
        <v>4</v>
      </c>
      <c r="D16" s="16"/>
      <c r="E16" s="16"/>
      <c r="F16" s="17"/>
      <c r="G16" s="17"/>
      <c r="H16" s="18"/>
      <c r="I16" s="3">
        <f>HLOOKUP($C16,'Параметры ПФ'!$F$3:$K$8,6,FALSE)</f>
        <v>68.08</v>
      </c>
      <c r="J16" s="3">
        <f t="shared" si="2"/>
        <v>0</v>
      </c>
      <c r="K16" s="4">
        <f>IF(J16&lt;'Параметры ПФ'!$N$7+0.01,'Стандартные программы'!J16,ROUNDDOWN('Параметры ПФ'!$N$7/IF(H16=0,I16,IF(I16&gt;H16,H16,I16)),0)*IF(H16=0,I16,IF(I16&gt;H16,H16,I16)))</f>
        <v>0</v>
      </c>
      <c r="L16" s="3">
        <f t="shared" si="0"/>
        <v>0</v>
      </c>
      <c r="M16" s="26">
        <f>IF(J16&lt;'Параметры ПФ'!$N$7+0.01,E16*F16*G16,ROUNDDOWN('Параметры ПФ'!$N$7/IF(H16=0,I16,IF(I16&gt;H16,H16,I16)),0)*G16)</f>
        <v>0</v>
      </c>
      <c r="N16" s="20">
        <f t="shared" si="7"/>
        <v>0</v>
      </c>
    </row>
    <row r="17" spans="1:14" x14ac:dyDescent="0.25">
      <c r="A17" s="2" t="s">
        <v>2</v>
      </c>
      <c r="B17" s="2"/>
      <c r="C17" s="2" t="s">
        <v>4</v>
      </c>
      <c r="D17" s="16"/>
      <c r="E17" s="16"/>
      <c r="F17" s="17"/>
      <c r="G17" s="17"/>
      <c r="H17" s="18"/>
      <c r="I17" s="3">
        <f>HLOOKUP($C17,'Параметры ПФ'!$F$3:$K$8,6,FALSE)</f>
        <v>68.08</v>
      </c>
      <c r="J17" s="3">
        <f t="shared" si="2"/>
        <v>0</v>
      </c>
      <c r="K17" s="4">
        <f>IF(J17&lt;'Параметры ПФ'!$N$7+0.01,'Стандартные программы'!J17,ROUNDDOWN('Параметры ПФ'!$N$7/IF(H17=0,I17,IF(I17&gt;H17,H17,I17)),0)*IF(H17=0,I17,IF(I17&gt;H17,H17,I17)))</f>
        <v>0</v>
      </c>
      <c r="L17" s="3">
        <f t="shared" si="0"/>
        <v>0</v>
      </c>
      <c r="M17" s="26">
        <f>IF(J17&lt;'Параметры ПФ'!$N$7+0.01,E17*F17*G17,ROUNDDOWN('Параметры ПФ'!$N$7/IF(H17=0,I17,IF(I17&gt;H17,H17,I17)),0)*G17)</f>
        <v>0</v>
      </c>
      <c r="N17" s="20">
        <f t="shared" si="7"/>
        <v>0</v>
      </c>
    </row>
    <row r="18" spans="1:14" x14ac:dyDescent="0.25">
      <c r="A18" s="2" t="s">
        <v>2</v>
      </c>
      <c r="B18" s="2"/>
      <c r="C18" s="2" t="s">
        <v>4</v>
      </c>
      <c r="D18" s="16"/>
      <c r="E18" s="16"/>
      <c r="F18" s="17"/>
      <c r="G18" s="17"/>
      <c r="H18" s="18"/>
      <c r="I18" s="3">
        <f>HLOOKUP($C18,'Параметры ПФ'!$F$3:$K$8,6,FALSE)</f>
        <v>68.08</v>
      </c>
      <c r="J18" s="3">
        <f t="shared" si="2"/>
        <v>0</v>
      </c>
      <c r="K18" s="4">
        <f>IF(J18&lt;'Параметры ПФ'!$N$7+0.01,'Стандартные программы'!J18,ROUNDDOWN('Параметры ПФ'!$N$7/IF(H18=0,I18,IF(I18&gt;H18,H18,I18)),0)*IF(H18=0,I18,IF(I18&gt;H18,H18,I18)))</f>
        <v>0</v>
      </c>
      <c r="L18" s="3">
        <f t="shared" si="0"/>
        <v>0</v>
      </c>
      <c r="M18" s="26">
        <f>IF(J18&lt;'Параметры ПФ'!$N$7+0.01,E18*F18*G18,ROUNDDOWN('Параметры ПФ'!$N$7/IF(H18=0,I18,IF(I18&gt;H18,H18,I18)),0)*G18)</f>
        <v>0</v>
      </c>
      <c r="N18" s="20">
        <f t="shared" si="7"/>
        <v>0</v>
      </c>
    </row>
    <row r="19" spans="1:14" x14ac:dyDescent="0.25">
      <c r="A19" s="2" t="s">
        <v>2</v>
      </c>
      <c r="B19" s="2"/>
      <c r="C19" s="2" t="s">
        <v>4</v>
      </c>
      <c r="D19" s="16"/>
      <c r="E19" s="16"/>
      <c r="F19" s="17"/>
      <c r="G19" s="17"/>
      <c r="H19" s="18"/>
      <c r="I19" s="3">
        <f>HLOOKUP($C19,'Параметры ПФ'!$F$3:$K$8,6,FALSE)</f>
        <v>68.08</v>
      </c>
      <c r="J19" s="3">
        <f t="shared" si="2"/>
        <v>0</v>
      </c>
      <c r="K19" s="4">
        <f>IF(J19&lt;'Параметры ПФ'!$N$7+0.01,'Стандартные программы'!J19,ROUNDDOWN('Параметры ПФ'!$N$7/IF(H19=0,I19,IF(I19&gt;H19,H19,I19)),0)*IF(H19=0,I19,IF(I19&gt;H19,H19,I19)))</f>
        <v>0</v>
      </c>
      <c r="L19" s="3">
        <f t="shared" si="0"/>
        <v>0</v>
      </c>
      <c r="M19" s="26">
        <f>IF(J19&lt;'Параметры ПФ'!$N$7+0.01,E19*F19*G19,ROUNDDOWN('Параметры ПФ'!$N$7/IF(H19=0,I19,IF(I19&gt;H19,H19,I19)),0)*G19)</f>
        <v>0</v>
      </c>
      <c r="N19" s="20">
        <f t="shared" si="7"/>
        <v>0</v>
      </c>
    </row>
    <row r="20" spans="1:14" x14ac:dyDescent="0.25">
      <c r="A20" s="2" t="s">
        <v>2</v>
      </c>
      <c r="B20" s="2"/>
      <c r="C20" s="2" t="s">
        <v>4</v>
      </c>
      <c r="D20" s="16"/>
      <c r="E20" s="16"/>
      <c r="F20" s="17"/>
      <c r="G20" s="17"/>
      <c r="H20" s="18"/>
      <c r="I20" s="3">
        <f>HLOOKUP($C20,'Параметры ПФ'!$F$3:$K$8,6,FALSE)</f>
        <v>68.08</v>
      </c>
      <c r="J20" s="3">
        <f t="shared" si="2"/>
        <v>0</v>
      </c>
      <c r="K20" s="4">
        <f>IF(J20&lt;'Параметры ПФ'!$N$7+0.01,'Стандартные программы'!J20,ROUNDDOWN('Параметры ПФ'!$N$7/IF(H20=0,I20,IF(I20&gt;H20,H20,I20)),0)*IF(H20=0,I20,IF(I20&gt;H20,H20,I20)))</f>
        <v>0</v>
      </c>
      <c r="L20" s="3">
        <f t="shared" si="0"/>
        <v>0</v>
      </c>
      <c r="M20" s="26">
        <f>IF(J20&lt;'Параметры ПФ'!$N$7+0.01,E20*F20*G20,ROUNDDOWN('Параметры ПФ'!$N$7/IF(H20=0,I20,IF(I20&gt;H20,H20,I20)),0)*G20)</f>
        <v>0</v>
      </c>
      <c r="N20" s="20">
        <f t="shared" si="7"/>
        <v>0</v>
      </c>
    </row>
    <row r="21" spans="1:14" x14ac:dyDescent="0.25">
      <c r="A21" s="2" t="s">
        <v>2</v>
      </c>
      <c r="B21" s="2"/>
      <c r="C21" s="2" t="s">
        <v>4</v>
      </c>
      <c r="D21" s="16"/>
      <c r="E21" s="16"/>
      <c r="F21" s="17"/>
      <c r="G21" s="17"/>
      <c r="H21" s="18"/>
      <c r="I21" s="3">
        <f>HLOOKUP($C21,'Параметры ПФ'!$F$3:$K$8,6,FALSE)</f>
        <v>68.08</v>
      </c>
      <c r="J21" s="3">
        <f t="shared" si="2"/>
        <v>0</v>
      </c>
      <c r="K21" s="4">
        <f>IF(J21&lt;'Параметры ПФ'!$N$7+0.01,'Стандартные программы'!J21,ROUNDDOWN('Параметры ПФ'!$N$7/IF(H21=0,I21,IF(I21&gt;H21,H21,I21)),0)*IF(H21=0,I21,IF(I21&gt;H21,H21,I21)))</f>
        <v>0</v>
      </c>
      <c r="L21" s="3">
        <f t="shared" si="0"/>
        <v>0</v>
      </c>
      <c r="M21" s="26">
        <f>IF(J21&lt;'Параметры ПФ'!$N$7+0.01,E21*F21*G21,ROUNDDOWN('Параметры ПФ'!$N$7/IF(H21=0,I21,IF(I21&gt;H21,H21,I21)),0)*G21)</f>
        <v>0</v>
      </c>
      <c r="N21" s="20">
        <f t="shared" si="7"/>
        <v>0</v>
      </c>
    </row>
    <row r="22" spans="1:14" x14ac:dyDescent="0.25">
      <c r="A22" s="2" t="s">
        <v>2</v>
      </c>
      <c r="B22" s="2"/>
      <c r="C22" s="2" t="s">
        <v>4</v>
      </c>
      <c r="D22" s="16"/>
      <c r="E22" s="16"/>
      <c r="F22" s="17"/>
      <c r="G22" s="17"/>
      <c r="H22" s="18"/>
      <c r="I22" s="3">
        <f>HLOOKUP($C22,'Параметры ПФ'!$F$3:$K$8,6,FALSE)</f>
        <v>68.08</v>
      </c>
      <c r="J22" s="3">
        <f t="shared" si="2"/>
        <v>0</v>
      </c>
      <c r="K22" s="4">
        <f>IF(J22&lt;'Параметры ПФ'!$N$7+0.01,'Стандартные программы'!J22,ROUNDDOWN('Параметры ПФ'!$N$7/IF(H22=0,I22,IF(I22&gt;H22,H22,I22)),0)*IF(H22=0,I22,IF(I22&gt;H22,H22,I22)))</f>
        <v>0</v>
      </c>
      <c r="L22" s="3">
        <f t="shared" si="0"/>
        <v>0</v>
      </c>
      <c r="M22" s="26">
        <f>IF(J22&lt;'Параметры ПФ'!$N$7+0.01,E22*F22*G22,ROUNDDOWN('Параметры ПФ'!$N$7/IF(H22=0,I22,IF(I22&gt;H22,H22,I22)),0)*G22)</f>
        <v>0</v>
      </c>
      <c r="N22" s="20">
        <f t="shared" si="7"/>
        <v>0</v>
      </c>
    </row>
    <row r="23" spans="1:14" x14ac:dyDescent="0.25">
      <c r="A23" s="2" t="s">
        <v>2</v>
      </c>
      <c r="B23" s="2"/>
      <c r="C23" s="2" t="s">
        <v>4</v>
      </c>
      <c r="D23" s="16"/>
      <c r="E23" s="16"/>
      <c r="F23" s="17"/>
      <c r="G23" s="17"/>
      <c r="H23" s="18"/>
      <c r="I23" s="3">
        <f>HLOOKUP($C23,'Параметры ПФ'!$F$3:$K$8,6,FALSE)</f>
        <v>68.08</v>
      </c>
      <c r="J23" s="3">
        <f t="shared" si="2"/>
        <v>0</v>
      </c>
      <c r="K23" s="4">
        <f>IF(J23&lt;'Параметры ПФ'!$N$7+0.01,'Стандартные программы'!J23,ROUNDDOWN('Параметры ПФ'!$N$7/IF(H23=0,I23,IF(I23&gt;H23,H23,I23)),0)*IF(H23=0,I23,IF(I23&gt;H23,H23,I23)))</f>
        <v>0</v>
      </c>
      <c r="L23" s="3">
        <f t="shared" si="0"/>
        <v>0</v>
      </c>
      <c r="M23" s="26">
        <f>IF(J23&lt;'Параметры ПФ'!$N$7+0.01,E23*F23*G23,ROUNDDOWN('Параметры ПФ'!$N$7/IF(H23=0,I23,IF(I23&gt;H23,H23,I23)),0)*G23)</f>
        <v>0</v>
      </c>
      <c r="N23" s="20">
        <f t="shared" si="7"/>
        <v>0</v>
      </c>
    </row>
    <row r="24" spans="1:14" x14ac:dyDescent="0.25">
      <c r="A24" s="2" t="s">
        <v>2</v>
      </c>
      <c r="B24" s="2"/>
      <c r="C24" s="2" t="s">
        <v>4</v>
      </c>
      <c r="D24" s="16"/>
      <c r="E24" s="16"/>
      <c r="F24" s="17"/>
      <c r="G24" s="17"/>
      <c r="H24" s="18"/>
      <c r="I24" s="3">
        <f>HLOOKUP($C24,'Параметры ПФ'!$F$3:$K$8,6,FALSE)</f>
        <v>68.08</v>
      </c>
      <c r="J24" s="3">
        <f t="shared" si="2"/>
        <v>0</v>
      </c>
      <c r="K24" s="4">
        <f>IF(J24&lt;'Параметры ПФ'!$N$7+0.01,'Стандартные программы'!J24,ROUNDDOWN('Параметры ПФ'!$N$7/IF(H24=0,I24,IF(I24&gt;H24,H24,I24)),0)*IF(H24=0,I24,IF(I24&gt;H24,H24,I24)))</f>
        <v>0</v>
      </c>
      <c r="L24" s="3">
        <f t="shared" si="0"/>
        <v>0</v>
      </c>
      <c r="M24" s="26">
        <f>IF(J24&lt;'Параметры ПФ'!$N$7+0.01,E24*F24*G24,ROUNDDOWN('Параметры ПФ'!$N$7/IF(H24=0,I24,IF(I24&gt;H24,H24,I24)),0)*G24)</f>
        <v>0</v>
      </c>
      <c r="N24" s="20">
        <f t="shared" si="7"/>
        <v>0</v>
      </c>
    </row>
    <row r="25" spans="1:14" x14ac:dyDescent="0.25">
      <c r="A25" s="2" t="s">
        <v>2</v>
      </c>
      <c r="B25" s="2"/>
      <c r="C25" s="2" t="s">
        <v>4</v>
      </c>
      <c r="D25" s="16"/>
      <c r="E25" s="16"/>
      <c r="F25" s="17"/>
      <c r="G25" s="17"/>
      <c r="H25" s="18"/>
      <c r="I25" s="3">
        <f>HLOOKUP($C25,'Параметры ПФ'!$F$3:$K$8,6,FALSE)</f>
        <v>68.08</v>
      </c>
      <c r="J25" s="3">
        <f t="shared" si="2"/>
        <v>0</v>
      </c>
      <c r="K25" s="4">
        <f>IF(J25&lt;'Параметры ПФ'!$N$7+0.01,'Стандартные программы'!J25,ROUNDDOWN('Параметры ПФ'!$N$7/IF(H25=0,I25,IF(I25&gt;H25,H25,I25)),0)*IF(H25=0,I25,IF(I25&gt;H25,H25,I25)))</f>
        <v>0</v>
      </c>
      <c r="L25" s="3">
        <f t="shared" si="0"/>
        <v>0</v>
      </c>
      <c r="M25" s="26">
        <f>IF(J25&lt;'Параметры ПФ'!$N$7+0.01,E25*F25*G25,ROUNDDOWN('Параметры ПФ'!$N$7/IF(H25=0,I25,IF(I25&gt;H25,H25,I25)),0)*G25)</f>
        <v>0</v>
      </c>
      <c r="N25" s="20">
        <f t="shared" si="7"/>
        <v>0</v>
      </c>
    </row>
    <row r="26" spans="1:14" x14ac:dyDescent="0.25">
      <c r="A26" s="2" t="s">
        <v>2</v>
      </c>
      <c r="B26" s="2"/>
      <c r="C26" s="2" t="s">
        <v>4</v>
      </c>
      <c r="D26" s="16"/>
      <c r="E26" s="16"/>
      <c r="F26" s="17"/>
      <c r="G26" s="17"/>
      <c r="H26" s="18"/>
      <c r="I26" s="3">
        <f>HLOOKUP($C26,'Параметры ПФ'!$F$3:$K$8,6,FALSE)</f>
        <v>68.08</v>
      </c>
      <c r="J26" s="3">
        <f t="shared" si="2"/>
        <v>0</v>
      </c>
      <c r="K26" s="4">
        <f>IF(J26&lt;'Параметры ПФ'!$N$7+0.01,'Стандартные программы'!J26,ROUNDDOWN('Параметры ПФ'!$N$7/IF(H26=0,I26,IF(I26&gt;H26,H26,I26)),0)*IF(H26=0,I26,IF(I26&gt;H26,H26,I26)))</f>
        <v>0</v>
      </c>
      <c r="L26" s="3">
        <f t="shared" si="0"/>
        <v>0</v>
      </c>
      <c r="M26" s="26">
        <f>IF(J26&lt;'Параметры ПФ'!$N$7+0.01,E26*F26*G26,ROUNDDOWN('Параметры ПФ'!$N$7/IF(H26=0,I26,IF(I26&gt;H26,H26,I26)),0)*G26)</f>
        <v>0</v>
      </c>
      <c r="N26" s="20">
        <f t="shared" si="7"/>
        <v>0</v>
      </c>
    </row>
    <row r="27" spans="1:14" x14ac:dyDescent="0.25">
      <c r="A27" s="2" t="s">
        <v>2</v>
      </c>
      <c r="B27" s="2"/>
      <c r="C27" s="2" t="s">
        <v>4</v>
      </c>
      <c r="D27" s="16"/>
      <c r="E27" s="16"/>
      <c r="F27" s="17"/>
      <c r="G27" s="17"/>
      <c r="H27" s="18"/>
      <c r="I27" s="3">
        <f>HLOOKUP($C27,'Параметры ПФ'!$F$3:$K$8,6,FALSE)</f>
        <v>68.08</v>
      </c>
      <c r="J27" s="3">
        <f t="shared" si="2"/>
        <v>0</v>
      </c>
      <c r="K27" s="4">
        <f>IF(J27&lt;'Параметры ПФ'!$N$7+0.01,'Стандартные программы'!J27,ROUNDDOWN('Параметры ПФ'!$N$7/IF(H27=0,I27,IF(I27&gt;H27,H27,I27)),0)*IF(H27=0,I27,IF(I27&gt;H27,H27,I27)))</f>
        <v>0</v>
      </c>
      <c r="L27" s="3">
        <f t="shared" si="0"/>
        <v>0</v>
      </c>
      <c r="M27" s="26">
        <f>IF(J27&lt;'Параметры ПФ'!$N$7+0.01,E27*F27*G27,ROUNDDOWN('Параметры ПФ'!$N$7/IF(H27=0,I27,IF(I27&gt;H27,H27,I27)),0)*G27)</f>
        <v>0</v>
      </c>
      <c r="N27" s="20">
        <f t="shared" si="7"/>
        <v>0</v>
      </c>
    </row>
    <row r="28" spans="1:14" x14ac:dyDescent="0.25">
      <c r="A28" s="2" t="s">
        <v>2</v>
      </c>
      <c r="B28" s="2"/>
      <c r="C28" s="2" t="s">
        <v>4</v>
      </c>
      <c r="D28" s="16"/>
      <c r="E28" s="16"/>
      <c r="F28" s="17"/>
      <c r="G28" s="17"/>
      <c r="H28" s="18"/>
      <c r="I28" s="3">
        <f>HLOOKUP($C28,'Параметры ПФ'!$F$3:$K$8,6,FALSE)</f>
        <v>68.08</v>
      </c>
      <c r="J28" s="3">
        <f t="shared" si="2"/>
        <v>0</v>
      </c>
      <c r="K28" s="4">
        <f>IF(J28&lt;'Параметры ПФ'!$N$7+0.01,'Стандартные программы'!J28,ROUNDDOWN('Параметры ПФ'!$N$7/IF(H28=0,I28,IF(I28&gt;H28,H28,I28)),0)*IF(H28=0,I28,IF(I28&gt;H28,H28,I28)))</f>
        <v>0</v>
      </c>
      <c r="L28" s="3">
        <f t="shared" si="0"/>
        <v>0</v>
      </c>
      <c r="M28" s="26">
        <f>IF(J28&lt;'Параметры ПФ'!$N$7+0.01,E28*F28*G28,ROUNDDOWN('Параметры ПФ'!$N$7/IF(H28=0,I28,IF(I28&gt;H28,H28,I28)),0)*G28)</f>
        <v>0</v>
      </c>
      <c r="N28" s="20">
        <f t="shared" si="7"/>
        <v>0</v>
      </c>
    </row>
    <row r="29" spans="1:14" x14ac:dyDescent="0.25">
      <c r="A29" s="2" t="s">
        <v>2</v>
      </c>
      <c r="B29" s="2"/>
      <c r="C29" s="2" t="s">
        <v>4</v>
      </c>
      <c r="D29" s="16"/>
      <c r="E29" s="16"/>
      <c r="F29" s="17"/>
      <c r="G29" s="17"/>
      <c r="H29" s="18"/>
      <c r="I29" s="3">
        <f>HLOOKUP($C29,'Параметры ПФ'!$F$3:$K$8,6,FALSE)</f>
        <v>68.08</v>
      </c>
      <c r="J29" s="3">
        <f t="shared" si="2"/>
        <v>0</v>
      </c>
      <c r="K29" s="4">
        <f>IF(J29&lt;'Параметры ПФ'!$N$7+0.01,'Стандартные программы'!J29,ROUNDDOWN('Параметры ПФ'!$N$7/IF(H29=0,I29,IF(I29&gt;H29,H29,I29)),0)*IF(H29=0,I29,IF(I29&gt;H29,H29,I29)))</f>
        <v>0</v>
      </c>
      <c r="L29" s="3">
        <f t="shared" si="0"/>
        <v>0</v>
      </c>
      <c r="M29" s="26">
        <f>IF(J29&lt;'Параметры ПФ'!$N$7+0.01,E29*F29*G29,ROUNDDOWN('Параметры ПФ'!$N$7/IF(H29=0,I29,IF(I29&gt;H29,H29,I29)),0)*G29)</f>
        <v>0</v>
      </c>
      <c r="N29" s="20">
        <f t="shared" si="7"/>
        <v>0</v>
      </c>
    </row>
    <row r="30" spans="1:14" x14ac:dyDescent="0.25">
      <c r="A30" s="2" t="s">
        <v>2</v>
      </c>
      <c r="B30" s="2"/>
      <c r="C30" s="2" t="s">
        <v>4</v>
      </c>
      <c r="D30" s="16"/>
      <c r="E30" s="16"/>
      <c r="F30" s="17"/>
      <c r="G30" s="17"/>
      <c r="H30" s="18"/>
      <c r="I30" s="3">
        <f>HLOOKUP($C30,'Параметры ПФ'!$F$3:$K$8,6,FALSE)</f>
        <v>68.08</v>
      </c>
      <c r="J30" s="3">
        <f t="shared" si="2"/>
        <v>0</v>
      </c>
      <c r="K30" s="4">
        <f>IF(J30&lt;'Параметры ПФ'!$N$7+0.01,'Стандартные программы'!J30,ROUNDDOWN('Параметры ПФ'!$N$7/IF(H30=0,I30,IF(I30&gt;H30,H30,I30)),0)*IF(H30=0,I30,IF(I30&gt;H30,H30,I30)))</f>
        <v>0</v>
      </c>
      <c r="L30" s="3">
        <f t="shared" si="0"/>
        <v>0</v>
      </c>
      <c r="M30" s="26">
        <f>IF(J30&lt;'Параметры ПФ'!$N$7+0.01,E30*F30*G30,ROUNDDOWN('Параметры ПФ'!$N$7/IF(H30=0,I30,IF(I30&gt;H30,H30,I30)),0)*G30)</f>
        <v>0</v>
      </c>
      <c r="N30" s="20">
        <f t="shared" si="7"/>
        <v>0</v>
      </c>
    </row>
    <row r="31" spans="1:14" x14ac:dyDescent="0.25">
      <c r="A31" s="2" t="s">
        <v>2</v>
      </c>
      <c r="B31" s="2"/>
      <c r="C31" s="2" t="s">
        <v>4</v>
      </c>
      <c r="D31" s="16"/>
      <c r="E31" s="16"/>
      <c r="F31" s="17"/>
      <c r="G31" s="17"/>
      <c r="H31" s="18"/>
      <c r="I31" s="3">
        <f>HLOOKUP($C31,'Параметры ПФ'!$F$3:$K$8,6,FALSE)</f>
        <v>68.08</v>
      </c>
      <c r="J31" s="3">
        <f t="shared" si="2"/>
        <v>0</v>
      </c>
      <c r="K31" s="4">
        <f>IF(J31&lt;'Параметры ПФ'!$N$7+0.01,'Стандартные программы'!J31,ROUNDDOWN('Параметры ПФ'!$N$7/IF(H31=0,I31,IF(I31&gt;H31,H31,I31)),0)*IF(H31=0,I31,IF(I31&gt;H31,H31,I31)))</f>
        <v>0</v>
      </c>
      <c r="L31" s="3">
        <f t="shared" si="0"/>
        <v>0</v>
      </c>
      <c r="M31" s="26">
        <f>IF(J31&lt;'Параметры ПФ'!$N$7+0.01,E31*F31*G31,ROUNDDOWN('Параметры ПФ'!$N$7/IF(H31=0,I31,IF(I31&gt;H31,H31,I31)),0)*G31)</f>
        <v>0</v>
      </c>
      <c r="N31" s="20">
        <f t="shared" si="7"/>
        <v>0</v>
      </c>
    </row>
    <row r="32" spans="1:14" x14ac:dyDescent="0.25">
      <c r="A32" s="2" t="s">
        <v>2</v>
      </c>
      <c r="B32" s="2"/>
      <c r="C32" s="2" t="s">
        <v>4</v>
      </c>
      <c r="D32" s="16"/>
      <c r="E32" s="16"/>
      <c r="F32" s="17"/>
      <c r="G32" s="17"/>
      <c r="H32" s="18"/>
      <c r="I32" s="3">
        <f>HLOOKUP($C32,'Параметры ПФ'!$F$3:$K$8,6,FALSE)</f>
        <v>68.08</v>
      </c>
      <c r="J32" s="3">
        <f t="shared" si="2"/>
        <v>0</v>
      </c>
      <c r="K32" s="4">
        <f>IF(J32&lt;'Параметры ПФ'!$N$7+0.01,'Стандартные программы'!J32,ROUNDDOWN('Параметры ПФ'!$N$7/IF(H32=0,I32,IF(I32&gt;H32,H32,I32)),0)*IF(H32=0,I32,IF(I32&gt;H32,H32,I32)))</f>
        <v>0</v>
      </c>
      <c r="L32" s="3">
        <f t="shared" si="0"/>
        <v>0</v>
      </c>
      <c r="M32" s="26">
        <f>IF(J32&lt;'Параметры ПФ'!$N$7+0.01,E32*F32*G32,ROUNDDOWN('Параметры ПФ'!$N$7/IF(H32=0,I32,IF(I32&gt;H32,H32,I32)),0)*G32)</f>
        <v>0</v>
      </c>
      <c r="N32" s="20">
        <f t="shared" si="7"/>
        <v>0</v>
      </c>
    </row>
    <row r="33" spans="1:14" x14ac:dyDescent="0.25">
      <c r="A33" s="2" t="s">
        <v>2</v>
      </c>
      <c r="B33" s="2"/>
      <c r="C33" s="2" t="s">
        <v>4</v>
      </c>
      <c r="D33" s="16"/>
      <c r="E33" s="16"/>
      <c r="F33" s="17"/>
      <c r="G33" s="17"/>
      <c r="H33" s="18"/>
      <c r="I33" s="3">
        <f>HLOOKUP($C33,'Параметры ПФ'!$F$3:$K$8,6,FALSE)</f>
        <v>68.08</v>
      </c>
      <c r="J33" s="3">
        <f t="shared" si="2"/>
        <v>0</v>
      </c>
      <c r="K33" s="4">
        <f>IF(J33&lt;'Параметры ПФ'!$N$7+0.01,'Стандартные программы'!J33,ROUNDDOWN('Параметры ПФ'!$N$7/IF(H33=0,I33,IF(I33&gt;H33,H33,I33)),0)*IF(H33=0,I33,IF(I33&gt;H33,H33,I33)))</f>
        <v>0</v>
      </c>
      <c r="L33" s="3">
        <f t="shared" si="0"/>
        <v>0</v>
      </c>
      <c r="M33" s="26">
        <f>IF(J33&lt;'Параметры ПФ'!$N$7+0.01,E33*F33*G33,ROUNDDOWN('Параметры ПФ'!$N$7/IF(H33=0,I33,IF(I33&gt;H33,H33,I33)),0)*G33)</f>
        <v>0</v>
      </c>
      <c r="N33" s="20">
        <f t="shared" si="7"/>
        <v>0</v>
      </c>
    </row>
    <row r="34" spans="1:14" x14ac:dyDescent="0.25">
      <c r="A34" s="2" t="s">
        <v>2</v>
      </c>
      <c r="B34" s="2"/>
      <c r="C34" s="2" t="s">
        <v>4</v>
      </c>
      <c r="D34" s="16"/>
      <c r="E34" s="16"/>
      <c r="F34" s="17"/>
      <c r="G34" s="17"/>
      <c r="H34" s="18"/>
      <c r="I34" s="3">
        <f>HLOOKUP($C34,'Параметры ПФ'!$F$3:$K$8,6,FALSE)</f>
        <v>68.08</v>
      </c>
      <c r="J34" s="3">
        <f t="shared" si="2"/>
        <v>0</v>
      </c>
      <c r="K34" s="4">
        <f>IF(J34&lt;'Параметры ПФ'!$N$7+0.01,'Стандартные программы'!J34,ROUNDDOWN('Параметры ПФ'!$N$7/IF(H34=0,I34,IF(I34&gt;H34,H34,I34)),0)*IF(H34=0,I34,IF(I34&gt;H34,H34,I34)))</f>
        <v>0</v>
      </c>
      <c r="L34" s="3">
        <f t="shared" si="0"/>
        <v>0</v>
      </c>
      <c r="M34" s="26">
        <f>IF(J34&lt;'Параметры ПФ'!$N$7+0.01,E34*F34*G34,ROUNDDOWN('Параметры ПФ'!$N$7/IF(H34=0,I34,IF(I34&gt;H34,H34,I34)),0)*G34)</f>
        <v>0</v>
      </c>
      <c r="N34" s="20">
        <f t="shared" si="7"/>
        <v>0</v>
      </c>
    </row>
    <row r="35" spans="1:14" x14ac:dyDescent="0.25">
      <c r="A35" s="2" t="s">
        <v>2</v>
      </c>
      <c r="B35" s="2"/>
      <c r="C35" s="2" t="s">
        <v>4</v>
      </c>
      <c r="D35" s="16"/>
      <c r="E35" s="16"/>
      <c r="F35" s="17"/>
      <c r="G35" s="17"/>
      <c r="H35" s="18"/>
      <c r="I35" s="3">
        <f>HLOOKUP($C35,'Параметры ПФ'!$F$3:$K$8,6,FALSE)</f>
        <v>68.08</v>
      </c>
      <c r="J35" s="3">
        <f t="shared" si="2"/>
        <v>0</v>
      </c>
      <c r="K35" s="4">
        <f>IF(J35&lt;'Параметры ПФ'!$N$7+0.01,'Стандартные программы'!J35,ROUNDDOWN('Параметры ПФ'!$N$7/IF(H35=0,I35,IF(I35&gt;H35,H35,I35)),0)*IF(H35=0,I35,IF(I35&gt;H35,H35,I35)))</f>
        <v>0</v>
      </c>
      <c r="L35" s="3">
        <f t="shared" si="0"/>
        <v>0</v>
      </c>
      <c r="M35" s="26">
        <f>IF(J35&lt;'Параметры ПФ'!$N$7+0.01,E35*F35*G35,ROUNDDOWN('Параметры ПФ'!$N$7/IF(H35=0,I35,IF(I35&gt;H35,H35,I35)),0)*G35)</f>
        <v>0</v>
      </c>
      <c r="N35" s="20">
        <f t="shared" si="7"/>
        <v>0</v>
      </c>
    </row>
    <row r="36" spans="1:14" x14ac:dyDescent="0.25">
      <c r="A36" s="90"/>
      <c r="B36" s="90"/>
      <c r="C36" s="90"/>
      <c r="D36" s="90"/>
      <c r="E36" s="90"/>
      <c r="F36" s="90"/>
      <c r="G36" s="5">
        <f>SUM(G2:G35)</f>
        <v>200</v>
      </c>
      <c r="H36" s="6" t="s">
        <v>12</v>
      </c>
      <c r="I36" s="7" t="s">
        <v>12</v>
      </c>
      <c r="J36" s="6" t="s">
        <v>12</v>
      </c>
      <c r="K36" s="7" t="s">
        <v>12</v>
      </c>
      <c r="L36" s="24">
        <f>SUM(L2:L35)</f>
        <v>2941056</v>
      </c>
      <c r="M36" s="25">
        <f>SUM(M2:M35)</f>
        <v>43200</v>
      </c>
      <c r="N36" s="21" t="s">
        <v>12</v>
      </c>
    </row>
  </sheetData>
  <autoFilter ref="A1:N36"/>
  <mergeCells count="1">
    <mergeCell ref="A36:F36"/>
  </mergeCells>
  <phoneticPr fontId="4" type="noConversion"/>
  <conditionalFormatting sqref="N2:N35">
    <cfRule type="cellIs" dxfId="3" priority="2" operator="greaterThan">
      <formula>#REF!</formula>
    </cfRule>
  </conditionalFormatting>
  <pageMargins left="0.70866141732283472" right="0.70866141732283472" top="0.74803149606299213" bottom="0.74803149606299213" header="0.31496062992125984" footer="0.31496062992125984"/>
  <pageSetup paperSize="9" scale="52" fitToHeight="0" orientation="landscape" verticalDpi="3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allowBlank="1" showInputMessage="1" showErrorMessage="1" errorTitle="Ошибка" error="Направленность не из списка!" promptTitle="Направленность" prompt="Выберите направленность из списка">
          <x14:formula1>
            <xm:f>'F:\Users\alexkostin\Library\Containers\com.microsoft.Excel\Data\Documents\F:\Навигаторы\РЕГИОНЫ\Москва\[19. Сходимость модели ПФ ДОД МО.xlsx]Справочники'!#REF!</xm:f>
          </x14:formula1>
          <xm:sqref>C37:E1048576</xm:sqref>
        </x14:dataValidation>
        <x14:dataValidation type="list" allowBlank="1" showInputMessage="1" showErrorMessage="1">
          <x14:formula1>
            <xm:f>'Параметры ПФ'!$F$3:$K$3</xm:f>
          </x14:formula1>
          <xm:sqref>C8:C35</xm:sqref>
        </x14:dataValidation>
        <x14:dataValidation type="list" allowBlank="1" showInputMessage="1" showErrorMessage="1">
          <x14:formula1>
            <xm:f>'[Расчет_Шамильский_пос_Мсаит_04_09_2020.xlsx]Расчет номинала'!#REF!</xm:f>
          </x14:formula1>
          <xm:sqref>A2:A7 C2:C7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zoomScale="70" zoomScaleNormal="70" workbookViewId="0">
      <selection activeCell="H11" sqref="H11"/>
    </sheetView>
  </sheetViews>
  <sheetFormatPr defaultColWidth="11" defaultRowHeight="15.75" x14ac:dyDescent="0.25"/>
  <cols>
    <col min="1" max="1" width="25.375" style="9" customWidth="1"/>
    <col min="2" max="2" width="34.5" style="9" customWidth="1"/>
    <col min="3" max="3" width="24.125" style="9" customWidth="1"/>
    <col min="4" max="4" width="11.5" style="9" customWidth="1"/>
    <col min="5" max="5" width="12.875" style="9" customWidth="1"/>
    <col min="6" max="6" width="12.125" style="10" customWidth="1"/>
    <col min="7" max="7" width="11.5" style="10" customWidth="1"/>
    <col min="8" max="8" width="12.5" style="11" customWidth="1"/>
    <col min="9" max="9" width="11.125" style="8" customWidth="1"/>
    <col min="10" max="10" width="12" style="8" customWidth="1"/>
    <col min="11" max="11" width="15.625" customWidth="1"/>
    <col min="12" max="12" width="15.375" style="8" customWidth="1"/>
    <col min="13" max="13" width="16.25" style="8" customWidth="1"/>
    <col min="14" max="14" width="19" style="22" customWidth="1"/>
  </cols>
  <sheetData>
    <row r="1" spans="1:14" s="1" customFormat="1" ht="78.75" x14ac:dyDescent="0.25">
      <c r="A1" s="12" t="s">
        <v>8</v>
      </c>
      <c r="B1" s="12" t="s">
        <v>9</v>
      </c>
      <c r="C1" s="12" t="s">
        <v>7</v>
      </c>
      <c r="D1" s="13" t="s">
        <v>6</v>
      </c>
      <c r="E1" s="13" t="s">
        <v>60</v>
      </c>
      <c r="F1" s="13" t="s">
        <v>13</v>
      </c>
      <c r="G1" s="13" t="s">
        <v>10</v>
      </c>
      <c r="H1" s="14" t="s">
        <v>14</v>
      </c>
      <c r="I1" s="15" t="s">
        <v>11</v>
      </c>
      <c r="J1" s="15" t="s">
        <v>61</v>
      </c>
      <c r="K1" s="23" t="s">
        <v>62</v>
      </c>
      <c r="L1" s="15" t="s">
        <v>15</v>
      </c>
      <c r="M1" s="15" t="s">
        <v>16</v>
      </c>
      <c r="N1" s="19" t="s">
        <v>63</v>
      </c>
    </row>
    <row r="2" spans="1:14" x14ac:dyDescent="0.25">
      <c r="A2" s="2" t="s">
        <v>1</v>
      </c>
      <c r="B2" s="2" t="s">
        <v>55</v>
      </c>
      <c r="C2" s="2" t="s">
        <v>3</v>
      </c>
      <c r="D2" s="16"/>
      <c r="E2" s="16"/>
      <c r="F2" s="17"/>
      <c r="G2" s="17"/>
      <c r="H2" s="18"/>
      <c r="I2" s="3">
        <f>HLOOKUP($C2,'Параметры ПФ'!$F$3:$K$8,6,FALSE)*'Параметры ПФ'!$G$21</f>
        <v>69.69</v>
      </c>
      <c r="J2" s="3">
        <f>IF(H2=0,I2*F2*E2,IF(I2&gt;H2,H2*F2*E2,I2*F2*E2))</f>
        <v>0</v>
      </c>
      <c r="K2" s="4">
        <f>IF(J2&lt;'Параметры ПФ'!$N$7+0.01,'Дистанционные программы'!J2,ROUNDDOWN('Параметры ПФ'!$N$7/IF(H2=0,I2,IF(I2&gt;H2,H2,I2)),0)*IF(H2=0,I2,IF(I2&gt;H2,H2,I2)))</f>
        <v>0</v>
      </c>
      <c r="L2" s="3">
        <f t="shared" ref="L2:L38" si="0">K2*G2</f>
        <v>0</v>
      </c>
      <c r="M2" s="26">
        <f>IF(J2&lt;'Параметры ПФ'!$N$7+0.01,E2*F2*G2,ROUNDDOWN('Параметры ПФ'!$N$7/IF(H2=0,I2,IF(I2&gt;H2,H2,I2)),0)*G2)</f>
        <v>0</v>
      </c>
      <c r="N2" s="20">
        <f>IF(H2=0,I2*F2*E2,IF(I2&gt;H2,H2*F2*E2,I2*F2*E2))-K2</f>
        <v>0</v>
      </c>
    </row>
    <row r="3" spans="1:14" x14ac:dyDescent="0.25">
      <c r="A3" s="2" t="s">
        <v>1</v>
      </c>
      <c r="B3" s="2" t="s">
        <v>57</v>
      </c>
      <c r="C3" s="2" t="s">
        <v>3</v>
      </c>
      <c r="D3" s="16"/>
      <c r="E3" s="16"/>
      <c r="F3" s="17"/>
      <c r="G3" s="17"/>
      <c r="H3" s="18"/>
      <c r="I3" s="3">
        <f>HLOOKUP($C3,'Параметры ПФ'!$F$3:$K$8,6,FALSE)*'Параметры ПФ'!$G$21</f>
        <v>69.69</v>
      </c>
      <c r="J3" s="3">
        <f>IF(H3=0,I3*F3*E3,IF(I3&gt;H3,H3*F3*E3,I3*F3*E3))</f>
        <v>0</v>
      </c>
      <c r="K3" s="4">
        <f>IF(J3&lt;'Параметры ПФ'!$N$7+0.01,'Дистанционные программы'!J3,ROUNDDOWN('Параметры ПФ'!$N$7/IF(H3=0,I3,IF(I3&gt;H3,H3,I3)),0)*IF(H3=0,I3,IF(I3&gt;H3,H3,I3)))</f>
        <v>0</v>
      </c>
      <c r="L3" s="3">
        <f t="shared" si="0"/>
        <v>0</v>
      </c>
      <c r="M3" s="26">
        <f>IF(J3&lt;'Параметры ПФ'!$N$7+0.01,E3*F3*G3,ROUNDDOWN('Параметры ПФ'!$N$7/IF(H3=0,I3,IF(I3&gt;H3,H3,I3)),0)*G3)</f>
        <v>0</v>
      </c>
      <c r="N3" s="20">
        <f>IF(H3=0,I3*F3*E3,IF(I3&gt;H3,H3*F3*E3,I3*F3*E3))-K3</f>
        <v>0</v>
      </c>
    </row>
    <row r="4" spans="1:14" x14ac:dyDescent="0.25">
      <c r="A4" s="2" t="s">
        <v>2</v>
      </c>
      <c r="B4" s="2" t="s">
        <v>57</v>
      </c>
      <c r="C4" s="2" t="s">
        <v>3</v>
      </c>
      <c r="D4" s="16"/>
      <c r="E4" s="16"/>
      <c r="F4" s="17"/>
      <c r="G4" s="17"/>
      <c r="H4" s="18"/>
      <c r="I4" s="3">
        <f>HLOOKUP($C4,'Параметры ПФ'!$F$3:$K$8,6,FALSE)*'Параметры ПФ'!$G$21</f>
        <v>69.69</v>
      </c>
      <c r="J4" s="3">
        <f>IF(H4=0,I4*F4*E4,IF(I4&gt;H4,H4*F4*E4,I4*F4*E4))</f>
        <v>0</v>
      </c>
      <c r="K4" s="4">
        <f>IF(J4&lt;'Параметры ПФ'!$N$7+0.01,'Дистанционные программы'!J4,ROUNDDOWN('Параметры ПФ'!$N$7/IF(H4=0,I4,IF(I4&gt;H4,H4,I4)),0)*IF(H4=0,I4,IF(I4&gt;H4,H4,I4)))</f>
        <v>0</v>
      </c>
      <c r="L4" s="3">
        <f t="shared" si="0"/>
        <v>0</v>
      </c>
      <c r="M4" s="26">
        <f>IF(J4&lt;'Параметры ПФ'!$N$7+0.01,E4*F4*G4,ROUNDDOWN('Параметры ПФ'!$N$7/IF(H4=0,I4,IF(I4&gt;H4,H4,I4)),0)*G4)</f>
        <v>0</v>
      </c>
      <c r="N4" s="20">
        <f>IF(H4=0,I4*F4*E4,IF(I4&gt;H4,H4*F4*E4,I4*F4*E4))-K4</f>
        <v>0</v>
      </c>
    </row>
    <row r="5" spans="1:14" x14ac:dyDescent="0.25">
      <c r="A5" s="2" t="s">
        <v>1</v>
      </c>
      <c r="B5" s="2" t="s">
        <v>58</v>
      </c>
      <c r="C5" s="2" t="s">
        <v>26</v>
      </c>
      <c r="D5" s="16"/>
      <c r="E5" s="16"/>
      <c r="F5" s="17"/>
      <c r="G5" s="17"/>
      <c r="H5" s="18"/>
      <c r="I5" s="3">
        <f>HLOOKUP($C5,'Параметры ПФ'!$F$3:$K$8,6,FALSE)*'Параметры ПФ'!$G$21</f>
        <v>69.69</v>
      </c>
      <c r="J5" s="3">
        <f t="shared" ref="J5:J38" si="1">IF(H5=0,I5*F5*E5,IF(I5&gt;H5,H5*F5*E5,I5*F5*E5))</f>
        <v>0</v>
      </c>
      <c r="K5" s="4">
        <f>IF(J5&lt;'Параметры ПФ'!$N$7+0.01,'Дистанционные программы'!J5,ROUNDDOWN('Параметры ПФ'!$N$7/IF(H5=0,I5,IF(I5&gt;H5,H5,I5)),0)*IF(H5=0,I5,IF(I5&gt;H5,H5,I5)))</f>
        <v>0</v>
      </c>
      <c r="L5" s="3">
        <f t="shared" si="0"/>
        <v>0</v>
      </c>
      <c r="M5" s="26">
        <f>IF(J5&lt;'Параметры ПФ'!$N$7+0.01,E5*F5*G5,ROUNDDOWN('Параметры ПФ'!$N$7/IF(H5=0,I5,IF(I5&gt;H5,H5,I5)),0)*G5)</f>
        <v>0</v>
      </c>
      <c r="N5" s="20">
        <f t="shared" ref="N5:N38" si="2">IF(H5=0,I5*F5*E5,IF(I5&gt;H5,H5*F5*E5,I5*F5*E5))-K5</f>
        <v>0</v>
      </c>
    </row>
    <row r="6" spans="1:14" x14ac:dyDescent="0.25">
      <c r="A6" s="2" t="s">
        <v>2</v>
      </c>
      <c r="B6" s="2" t="s">
        <v>54</v>
      </c>
      <c r="C6" s="2" t="s">
        <v>68</v>
      </c>
      <c r="D6" s="16"/>
      <c r="E6" s="16"/>
      <c r="F6" s="17"/>
      <c r="G6" s="17"/>
      <c r="H6" s="18"/>
      <c r="I6" s="3">
        <f>HLOOKUP($C6,'Параметры ПФ'!$F$3:$K$8,6,FALSE)*'Параметры ПФ'!$G$21</f>
        <v>69.69</v>
      </c>
      <c r="J6" s="3">
        <f t="shared" si="1"/>
        <v>0</v>
      </c>
      <c r="K6" s="4">
        <f>IF(J6&lt;'Параметры ПФ'!$N$7+0.01,'Дистанционные программы'!J6,ROUNDDOWN('Параметры ПФ'!$N$7/IF(H6=0,I6,IF(I6&gt;H6,H6,I6)),0)*IF(H6=0,I6,IF(I6&gt;H6,H6,I6)))</f>
        <v>0</v>
      </c>
      <c r="L6" s="3">
        <f t="shared" si="0"/>
        <v>0</v>
      </c>
      <c r="M6" s="26">
        <f>IF(J6&lt;'Параметры ПФ'!$N$7+0.01,E6*F6*G6,ROUNDDOWN('Параметры ПФ'!$N$7/IF(H6=0,I6,IF(I6&gt;H6,H6,I6)),0)*G6)</f>
        <v>0</v>
      </c>
      <c r="N6" s="20">
        <f t="shared" si="2"/>
        <v>0</v>
      </c>
    </row>
    <row r="7" spans="1:14" x14ac:dyDescent="0.25">
      <c r="A7" s="2" t="s">
        <v>2</v>
      </c>
      <c r="B7" s="2" t="s">
        <v>56</v>
      </c>
      <c r="C7" s="2" t="s">
        <v>68</v>
      </c>
      <c r="D7" s="16"/>
      <c r="E7" s="16"/>
      <c r="F7" s="17"/>
      <c r="G7" s="17"/>
      <c r="H7" s="18"/>
      <c r="I7" s="3">
        <f>HLOOKUP($C7,'Параметры ПФ'!$F$3:$K$8,6,FALSE)*'Параметры ПФ'!$G$21</f>
        <v>69.69</v>
      </c>
      <c r="J7" s="3">
        <f t="shared" si="1"/>
        <v>0</v>
      </c>
      <c r="K7" s="4">
        <f>IF(J7&lt;'Параметры ПФ'!$N$7+0.01,'Дистанционные программы'!J7,ROUNDDOWN('Параметры ПФ'!$N$7/IF(H7=0,I7,IF(I7&gt;H7,H7,I7)),0)*IF(H7=0,I7,IF(I7&gt;H7,H7,I7)))</f>
        <v>0</v>
      </c>
      <c r="L7" s="3">
        <f t="shared" si="0"/>
        <v>0</v>
      </c>
      <c r="M7" s="26">
        <f>IF(J7&lt;'Параметры ПФ'!$N$7+0.01,E7*F7*G7,ROUNDDOWN('Параметры ПФ'!$N$7/IF(H7=0,I7,IF(I7&gt;H7,H7,I7)),0)*G7)</f>
        <v>0</v>
      </c>
      <c r="N7" s="20">
        <f t="shared" si="2"/>
        <v>0</v>
      </c>
    </row>
    <row r="8" spans="1:14" x14ac:dyDescent="0.25">
      <c r="A8" s="2" t="s">
        <v>44</v>
      </c>
      <c r="B8" s="2" t="s">
        <v>56</v>
      </c>
      <c r="C8" s="2" t="s">
        <v>68</v>
      </c>
      <c r="D8" s="16"/>
      <c r="E8" s="16"/>
      <c r="F8" s="17"/>
      <c r="G8" s="17"/>
      <c r="H8" s="18"/>
      <c r="I8" s="3">
        <f>HLOOKUP($C8,'Параметры ПФ'!$F$3:$K$8,6,FALSE)*'Параметры ПФ'!$G$21</f>
        <v>69.69</v>
      </c>
      <c r="J8" s="3">
        <f t="shared" si="1"/>
        <v>0</v>
      </c>
      <c r="K8" s="4">
        <f>IF(J8&lt;'Параметры ПФ'!$N$7+0.01,'Дистанционные программы'!J8,ROUNDDOWN('Параметры ПФ'!$N$7/IF(H8=0,I8,IF(I8&gt;H8,H8,I8)),0)*IF(H8=0,I8,IF(I8&gt;H8,H8,I8)))</f>
        <v>0</v>
      </c>
      <c r="L8" s="3">
        <f t="shared" si="0"/>
        <v>0</v>
      </c>
      <c r="M8" s="26">
        <f>IF(J8&lt;'Параметры ПФ'!$N$7+0.01,E8*F8*G8,ROUNDDOWN('Параметры ПФ'!$N$7/IF(H8=0,I8,IF(I8&gt;H8,H8,I8)),0)*G8)</f>
        <v>0</v>
      </c>
      <c r="N8" s="20">
        <f t="shared" si="2"/>
        <v>0</v>
      </c>
    </row>
    <row r="9" spans="1:14" x14ac:dyDescent="0.25">
      <c r="A9" s="2" t="s">
        <v>2</v>
      </c>
      <c r="B9" s="2"/>
      <c r="C9" s="2" t="s">
        <v>4</v>
      </c>
      <c r="D9" s="16"/>
      <c r="E9" s="16"/>
      <c r="F9" s="17"/>
      <c r="G9" s="17"/>
      <c r="H9" s="18"/>
      <c r="I9" s="3">
        <f>HLOOKUP($C9,'Параметры ПФ'!$F$3:$K$8,6,FALSE)*'Параметры ПФ'!$G$21</f>
        <v>68.08</v>
      </c>
      <c r="J9" s="3">
        <f t="shared" si="1"/>
        <v>0</v>
      </c>
      <c r="K9" s="4">
        <f>IF(J9&lt;'Параметры ПФ'!$N$7+0.01,'Дистанционные программы'!J9,ROUNDDOWN('Параметры ПФ'!$N$7/IF(H9=0,I9,IF(I9&gt;H9,H9,I9)),0)*IF(H9=0,I9,IF(I9&gt;H9,H9,I9)))</f>
        <v>0</v>
      </c>
      <c r="L9" s="3">
        <f t="shared" si="0"/>
        <v>0</v>
      </c>
      <c r="M9" s="26">
        <f>IF(J9&lt;'Параметры ПФ'!$N$7+0.01,E9*F9*G9,ROUNDDOWN('Параметры ПФ'!$N$7/IF(H9=0,I9,IF(I9&gt;H9,H9,I9)),0)*G9)</f>
        <v>0</v>
      </c>
      <c r="N9" s="20">
        <f t="shared" si="2"/>
        <v>0</v>
      </c>
    </row>
    <row r="10" spans="1:14" x14ac:dyDescent="0.25">
      <c r="A10" s="2" t="s">
        <v>2</v>
      </c>
      <c r="B10" s="2"/>
      <c r="C10" s="2" t="s">
        <v>4</v>
      </c>
      <c r="D10" s="16"/>
      <c r="E10" s="16"/>
      <c r="F10" s="17"/>
      <c r="G10" s="17"/>
      <c r="H10" s="18"/>
      <c r="I10" s="3">
        <f>HLOOKUP($C10,'Параметры ПФ'!$F$3:$K$8,6,FALSE)*'Параметры ПФ'!$G$21</f>
        <v>68.08</v>
      </c>
      <c r="J10" s="3">
        <f t="shared" si="1"/>
        <v>0</v>
      </c>
      <c r="K10" s="4">
        <f>IF(J10&lt;'Параметры ПФ'!$N$7+0.01,'Дистанционные программы'!J10,ROUNDDOWN('Параметры ПФ'!$N$7/IF(H10=0,I10,IF(I10&gt;H10,H10,I10)),0)*IF(H10=0,I10,IF(I10&gt;H10,H10,I10)))</f>
        <v>0</v>
      </c>
      <c r="L10" s="3">
        <f t="shared" si="0"/>
        <v>0</v>
      </c>
      <c r="M10" s="26">
        <f>IF(J10&lt;'Параметры ПФ'!$N$7+0.01,E10*F10*G10,ROUNDDOWN('Параметры ПФ'!$N$7/IF(H10=0,I10,IF(I10&gt;H10,H10,I10)),0)*G10)</f>
        <v>0</v>
      </c>
      <c r="N10" s="20">
        <f t="shared" si="2"/>
        <v>0</v>
      </c>
    </row>
    <row r="11" spans="1:14" x14ac:dyDescent="0.25">
      <c r="A11" s="2" t="s">
        <v>2</v>
      </c>
      <c r="B11" s="2"/>
      <c r="C11" s="2" t="s">
        <v>4</v>
      </c>
      <c r="D11" s="16"/>
      <c r="E11" s="16"/>
      <c r="F11" s="17"/>
      <c r="G11" s="17"/>
      <c r="H11" s="18"/>
      <c r="I11" s="3">
        <f>HLOOKUP($C11,'Параметры ПФ'!$F$3:$K$8,6,FALSE)*'Параметры ПФ'!$G$21</f>
        <v>68.08</v>
      </c>
      <c r="J11" s="3">
        <f t="shared" si="1"/>
        <v>0</v>
      </c>
      <c r="K11" s="4">
        <f>IF(J11&lt;'Параметры ПФ'!$N$7+0.01,'Дистанционные программы'!J11,ROUNDDOWN('Параметры ПФ'!$N$7/IF(H11=0,I11,IF(I11&gt;H11,H11,I11)),0)*IF(H11=0,I11,IF(I11&gt;H11,H11,I11)))</f>
        <v>0</v>
      </c>
      <c r="L11" s="3">
        <f t="shared" si="0"/>
        <v>0</v>
      </c>
      <c r="M11" s="26">
        <f>IF(J11&lt;'Параметры ПФ'!$N$7+0.01,E11*F11*G11,ROUNDDOWN('Параметры ПФ'!$N$7/IF(H11=0,I11,IF(I11&gt;H11,H11,I11)),0)*G11)</f>
        <v>0</v>
      </c>
      <c r="N11" s="20">
        <f t="shared" si="2"/>
        <v>0</v>
      </c>
    </row>
    <row r="12" spans="1:14" x14ac:dyDescent="0.25">
      <c r="A12" s="2" t="s">
        <v>2</v>
      </c>
      <c r="B12" s="2"/>
      <c r="C12" s="2" t="s">
        <v>4</v>
      </c>
      <c r="D12" s="16"/>
      <c r="E12" s="16"/>
      <c r="F12" s="17"/>
      <c r="G12" s="17"/>
      <c r="H12" s="18"/>
      <c r="I12" s="3">
        <f>HLOOKUP($C12,'Параметры ПФ'!$F$3:$K$8,6,FALSE)*'Параметры ПФ'!$G$21</f>
        <v>68.08</v>
      </c>
      <c r="J12" s="3">
        <f t="shared" si="1"/>
        <v>0</v>
      </c>
      <c r="K12" s="4">
        <f>IF(J12&lt;'Параметры ПФ'!$N$7+0.01,'Дистанционные программы'!J12,ROUNDDOWN('Параметры ПФ'!$N$7/IF(H12=0,I12,IF(I12&gt;H12,H12,I12)),0)*IF(H12=0,I12,IF(I12&gt;H12,H12,I12)))</f>
        <v>0</v>
      </c>
      <c r="L12" s="3">
        <f t="shared" si="0"/>
        <v>0</v>
      </c>
      <c r="M12" s="26">
        <f>IF(J12&lt;'Параметры ПФ'!$N$7+0.01,E12*F12*G12,ROUNDDOWN('Параметры ПФ'!$N$7/IF(H12=0,I12,IF(I12&gt;H12,H12,I12)),0)*G12)</f>
        <v>0</v>
      </c>
      <c r="N12" s="20">
        <f t="shared" si="2"/>
        <v>0</v>
      </c>
    </row>
    <row r="13" spans="1:14" x14ac:dyDescent="0.25">
      <c r="A13" s="2" t="s">
        <v>2</v>
      </c>
      <c r="B13" s="2"/>
      <c r="C13" s="2" t="s">
        <v>4</v>
      </c>
      <c r="D13" s="16"/>
      <c r="E13" s="16"/>
      <c r="F13" s="17"/>
      <c r="G13" s="17"/>
      <c r="H13" s="18"/>
      <c r="I13" s="3">
        <f>HLOOKUP($C13,'Параметры ПФ'!$F$3:$K$8,6,FALSE)*'Параметры ПФ'!$G$21</f>
        <v>68.08</v>
      </c>
      <c r="J13" s="3">
        <f t="shared" si="1"/>
        <v>0</v>
      </c>
      <c r="K13" s="4">
        <f>IF(J13&lt;'Параметры ПФ'!$N$7+0.01,'Дистанционные программы'!J13,ROUNDDOWN('Параметры ПФ'!$N$7/IF(H13=0,I13,IF(I13&gt;H13,H13,I13)),0)*IF(H13=0,I13,IF(I13&gt;H13,H13,I13)))</f>
        <v>0</v>
      </c>
      <c r="L13" s="3">
        <f t="shared" si="0"/>
        <v>0</v>
      </c>
      <c r="M13" s="26">
        <f>IF(J13&lt;'Параметры ПФ'!$N$7+0.01,E13*F13*G13,ROUNDDOWN('Параметры ПФ'!$N$7/IF(H13=0,I13,IF(I13&gt;H13,H13,I13)),0)*G13)</f>
        <v>0</v>
      </c>
      <c r="N13" s="20">
        <f t="shared" si="2"/>
        <v>0</v>
      </c>
    </row>
    <row r="14" spans="1:14" x14ac:dyDescent="0.25">
      <c r="A14" s="2" t="s">
        <v>2</v>
      </c>
      <c r="B14" s="2"/>
      <c r="C14" s="2" t="s">
        <v>4</v>
      </c>
      <c r="D14" s="16"/>
      <c r="E14" s="16"/>
      <c r="F14" s="17"/>
      <c r="G14" s="17"/>
      <c r="H14" s="18"/>
      <c r="I14" s="3">
        <f>HLOOKUP($C14,'Параметры ПФ'!$F$3:$K$8,6,FALSE)*'Параметры ПФ'!$G$21</f>
        <v>68.08</v>
      </c>
      <c r="J14" s="3">
        <f t="shared" si="1"/>
        <v>0</v>
      </c>
      <c r="K14" s="4">
        <f>IF(J14&lt;'Параметры ПФ'!$N$7+0.01,'Дистанционные программы'!J14,ROUNDDOWN('Параметры ПФ'!$N$7/IF(H14=0,I14,IF(I14&gt;H14,H14,I14)),0)*IF(H14=0,I14,IF(I14&gt;H14,H14,I14)))</f>
        <v>0</v>
      </c>
      <c r="L14" s="3">
        <f t="shared" si="0"/>
        <v>0</v>
      </c>
      <c r="M14" s="26">
        <f>IF(J14&lt;'Параметры ПФ'!$N$7+0.01,E14*F14*G14,ROUNDDOWN('Параметры ПФ'!$N$7/IF(H14=0,I14,IF(I14&gt;H14,H14,I14)),0)*G14)</f>
        <v>0</v>
      </c>
      <c r="N14" s="20">
        <f t="shared" si="2"/>
        <v>0</v>
      </c>
    </row>
    <row r="15" spans="1:14" x14ac:dyDescent="0.25">
      <c r="A15" s="2" t="s">
        <v>2</v>
      </c>
      <c r="B15" s="2"/>
      <c r="C15" s="2" t="s">
        <v>4</v>
      </c>
      <c r="D15" s="16"/>
      <c r="E15" s="16"/>
      <c r="F15" s="17"/>
      <c r="G15" s="17"/>
      <c r="H15" s="18"/>
      <c r="I15" s="3">
        <f>HLOOKUP($C15,'Параметры ПФ'!$F$3:$K$8,6,FALSE)*'Параметры ПФ'!$G$21</f>
        <v>68.08</v>
      </c>
      <c r="J15" s="3">
        <f t="shared" si="1"/>
        <v>0</v>
      </c>
      <c r="K15" s="4">
        <f>IF(J15&lt;'Параметры ПФ'!$N$7+0.01,'Дистанционные программы'!J15,ROUNDDOWN('Параметры ПФ'!$N$7/IF(H15=0,I15,IF(I15&gt;H15,H15,I15)),0)*IF(H15=0,I15,IF(I15&gt;H15,H15,I15)))</f>
        <v>0</v>
      </c>
      <c r="L15" s="3">
        <f t="shared" si="0"/>
        <v>0</v>
      </c>
      <c r="M15" s="26">
        <f>IF(J15&lt;'Параметры ПФ'!$N$7+0.01,E15*F15*G15,ROUNDDOWN('Параметры ПФ'!$N$7/IF(H15=0,I15,IF(I15&gt;H15,H15,I15)),0)*G15)</f>
        <v>0</v>
      </c>
      <c r="N15" s="20">
        <f t="shared" si="2"/>
        <v>0</v>
      </c>
    </row>
    <row r="16" spans="1:14" x14ac:dyDescent="0.25">
      <c r="A16" s="2" t="s">
        <v>2</v>
      </c>
      <c r="B16" s="2"/>
      <c r="C16" s="2" t="s">
        <v>4</v>
      </c>
      <c r="D16" s="16"/>
      <c r="E16" s="16"/>
      <c r="F16" s="17"/>
      <c r="G16" s="17"/>
      <c r="H16" s="18"/>
      <c r="I16" s="3">
        <f>HLOOKUP($C16,'Параметры ПФ'!$F$3:$K$8,6,FALSE)*'Параметры ПФ'!$G$21</f>
        <v>68.08</v>
      </c>
      <c r="J16" s="3">
        <f t="shared" si="1"/>
        <v>0</v>
      </c>
      <c r="K16" s="4">
        <f>IF(J16&lt;'Параметры ПФ'!$N$7+0.01,'Дистанционные программы'!J16,ROUNDDOWN('Параметры ПФ'!$N$7/IF(H16=0,I16,IF(I16&gt;H16,H16,I16)),0)*IF(H16=0,I16,IF(I16&gt;H16,H16,I16)))</f>
        <v>0</v>
      </c>
      <c r="L16" s="3">
        <f t="shared" si="0"/>
        <v>0</v>
      </c>
      <c r="M16" s="26">
        <f>IF(J16&lt;'Параметры ПФ'!$N$7+0.01,E16*F16*G16,ROUNDDOWN('Параметры ПФ'!$N$7/IF(H16=0,I16,IF(I16&gt;H16,H16,I16)),0)*G16)</f>
        <v>0</v>
      </c>
      <c r="N16" s="20">
        <f t="shared" si="2"/>
        <v>0</v>
      </c>
    </row>
    <row r="17" spans="1:14" x14ac:dyDescent="0.25">
      <c r="A17" s="2" t="s">
        <v>2</v>
      </c>
      <c r="B17" s="2"/>
      <c r="C17" s="2" t="s">
        <v>4</v>
      </c>
      <c r="D17" s="16"/>
      <c r="E17" s="16"/>
      <c r="F17" s="17"/>
      <c r="G17" s="17"/>
      <c r="H17" s="18"/>
      <c r="I17" s="3">
        <f>HLOOKUP($C17,'Параметры ПФ'!$F$3:$K$8,6,FALSE)*'Параметры ПФ'!$G$21</f>
        <v>68.08</v>
      </c>
      <c r="J17" s="3">
        <f t="shared" si="1"/>
        <v>0</v>
      </c>
      <c r="K17" s="4">
        <f>IF(J17&lt;'Параметры ПФ'!$N$7+0.01,'Дистанционные программы'!J17,ROUNDDOWN('Параметры ПФ'!$N$7/IF(H17=0,I17,IF(I17&gt;H17,H17,I17)),0)*IF(H17=0,I17,IF(I17&gt;H17,H17,I17)))</f>
        <v>0</v>
      </c>
      <c r="L17" s="3">
        <f t="shared" si="0"/>
        <v>0</v>
      </c>
      <c r="M17" s="26">
        <f>IF(J17&lt;'Параметры ПФ'!$N$7+0.01,E17*F17*G17,ROUNDDOWN('Параметры ПФ'!$N$7/IF(H17=0,I17,IF(I17&gt;H17,H17,I17)),0)*G17)</f>
        <v>0</v>
      </c>
      <c r="N17" s="20">
        <f t="shared" si="2"/>
        <v>0</v>
      </c>
    </row>
    <row r="18" spans="1:14" x14ac:dyDescent="0.25">
      <c r="A18" s="2" t="s">
        <v>2</v>
      </c>
      <c r="B18" s="2"/>
      <c r="C18" s="2" t="s">
        <v>4</v>
      </c>
      <c r="D18" s="16"/>
      <c r="E18" s="16"/>
      <c r="F18" s="17"/>
      <c r="G18" s="17"/>
      <c r="H18" s="18"/>
      <c r="I18" s="3">
        <f>HLOOKUP($C18,'Параметры ПФ'!$F$3:$K$8,6,FALSE)*'Параметры ПФ'!$G$21</f>
        <v>68.08</v>
      </c>
      <c r="J18" s="3">
        <f t="shared" si="1"/>
        <v>0</v>
      </c>
      <c r="K18" s="4">
        <f>IF(J18&lt;'Параметры ПФ'!$N$7+0.01,'Дистанционные программы'!J18,ROUNDDOWN('Параметры ПФ'!$N$7/IF(H18=0,I18,IF(I18&gt;H18,H18,I18)),0)*IF(H18=0,I18,IF(I18&gt;H18,H18,I18)))</f>
        <v>0</v>
      </c>
      <c r="L18" s="3">
        <f t="shared" si="0"/>
        <v>0</v>
      </c>
      <c r="M18" s="26">
        <f>IF(J18&lt;'Параметры ПФ'!$N$7+0.01,E18*F18*G18,ROUNDDOWN('Параметры ПФ'!$N$7/IF(H18=0,I18,IF(I18&gt;H18,H18,I18)),0)*G18)</f>
        <v>0</v>
      </c>
      <c r="N18" s="20">
        <f t="shared" si="2"/>
        <v>0</v>
      </c>
    </row>
    <row r="19" spans="1:14" x14ac:dyDescent="0.25">
      <c r="A19" s="2" t="s">
        <v>2</v>
      </c>
      <c r="B19" s="2"/>
      <c r="C19" s="2" t="s">
        <v>4</v>
      </c>
      <c r="D19" s="16"/>
      <c r="E19" s="16"/>
      <c r="F19" s="17"/>
      <c r="G19" s="17"/>
      <c r="H19" s="18"/>
      <c r="I19" s="3">
        <f>HLOOKUP($C19,'Параметры ПФ'!$F$3:$K$8,6,FALSE)*'Параметры ПФ'!$G$21</f>
        <v>68.08</v>
      </c>
      <c r="J19" s="3">
        <f t="shared" si="1"/>
        <v>0</v>
      </c>
      <c r="K19" s="4">
        <f>IF(J19&lt;'Параметры ПФ'!$N$7+0.01,'Дистанционные программы'!J19,ROUNDDOWN('Параметры ПФ'!$N$7/IF(H19=0,I19,IF(I19&gt;H19,H19,I19)),0)*IF(H19=0,I19,IF(I19&gt;H19,H19,I19)))</f>
        <v>0</v>
      </c>
      <c r="L19" s="3">
        <f t="shared" si="0"/>
        <v>0</v>
      </c>
      <c r="M19" s="26">
        <f>IF(J19&lt;'Параметры ПФ'!$N$7+0.01,E19*F19*G19,ROUNDDOWN('Параметры ПФ'!$N$7/IF(H19=0,I19,IF(I19&gt;H19,H19,I19)),0)*G19)</f>
        <v>0</v>
      </c>
      <c r="N19" s="20">
        <f t="shared" si="2"/>
        <v>0</v>
      </c>
    </row>
    <row r="20" spans="1:14" x14ac:dyDescent="0.25">
      <c r="A20" s="2" t="s">
        <v>2</v>
      </c>
      <c r="B20" s="2"/>
      <c r="C20" s="2" t="s">
        <v>4</v>
      </c>
      <c r="D20" s="16"/>
      <c r="E20" s="16"/>
      <c r="F20" s="17"/>
      <c r="G20" s="17"/>
      <c r="H20" s="18"/>
      <c r="I20" s="3">
        <f>HLOOKUP($C20,'Параметры ПФ'!$F$3:$K$8,6,FALSE)*'Параметры ПФ'!$G$21</f>
        <v>68.08</v>
      </c>
      <c r="J20" s="3">
        <f t="shared" si="1"/>
        <v>0</v>
      </c>
      <c r="K20" s="4">
        <f>IF(J20&lt;'Параметры ПФ'!$N$7+0.01,'Дистанционные программы'!J20,ROUNDDOWN('Параметры ПФ'!$N$7/IF(H20=0,I20,IF(I20&gt;H20,H20,I20)),0)*IF(H20=0,I20,IF(I20&gt;H20,H20,I20)))</f>
        <v>0</v>
      </c>
      <c r="L20" s="3">
        <f t="shared" si="0"/>
        <v>0</v>
      </c>
      <c r="M20" s="26">
        <f>IF(J20&lt;'Параметры ПФ'!$N$7+0.01,E20*F20*G20,ROUNDDOWN('Параметры ПФ'!$N$7/IF(H20=0,I20,IF(I20&gt;H20,H20,I20)),0)*G20)</f>
        <v>0</v>
      </c>
      <c r="N20" s="20">
        <f t="shared" si="2"/>
        <v>0</v>
      </c>
    </row>
    <row r="21" spans="1:14" x14ac:dyDescent="0.25">
      <c r="A21" s="2" t="s">
        <v>2</v>
      </c>
      <c r="B21" s="2"/>
      <c r="C21" s="2" t="s">
        <v>4</v>
      </c>
      <c r="D21" s="16"/>
      <c r="E21" s="16"/>
      <c r="F21" s="17"/>
      <c r="G21" s="17"/>
      <c r="H21" s="18"/>
      <c r="I21" s="3">
        <f>HLOOKUP($C21,'Параметры ПФ'!$F$3:$K$8,6,FALSE)*'Параметры ПФ'!$G$21</f>
        <v>68.08</v>
      </c>
      <c r="J21" s="3">
        <f t="shared" si="1"/>
        <v>0</v>
      </c>
      <c r="K21" s="4">
        <f>IF(J21&lt;'Параметры ПФ'!$N$7+0.01,'Дистанционные программы'!J21,ROUNDDOWN('Параметры ПФ'!$N$7/IF(H21=0,I21,IF(I21&gt;H21,H21,I21)),0)*IF(H21=0,I21,IF(I21&gt;H21,H21,I21)))</f>
        <v>0</v>
      </c>
      <c r="L21" s="3">
        <f t="shared" si="0"/>
        <v>0</v>
      </c>
      <c r="M21" s="26">
        <f>IF(J21&lt;'Параметры ПФ'!$N$7+0.01,E21*F21*G21,ROUNDDOWN('Параметры ПФ'!$N$7/IF(H21=0,I21,IF(I21&gt;H21,H21,I21)),0)*G21)</f>
        <v>0</v>
      </c>
      <c r="N21" s="20">
        <f t="shared" si="2"/>
        <v>0</v>
      </c>
    </row>
    <row r="22" spans="1:14" x14ac:dyDescent="0.25">
      <c r="A22" s="2" t="s">
        <v>2</v>
      </c>
      <c r="B22" s="2"/>
      <c r="C22" s="2" t="s">
        <v>4</v>
      </c>
      <c r="D22" s="16"/>
      <c r="E22" s="16"/>
      <c r="F22" s="17"/>
      <c r="G22" s="17"/>
      <c r="H22" s="18"/>
      <c r="I22" s="3">
        <f>HLOOKUP($C22,'Параметры ПФ'!$F$3:$K$8,6,FALSE)*'Параметры ПФ'!$G$21</f>
        <v>68.08</v>
      </c>
      <c r="J22" s="3">
        <f t="shared" si="1"/>
        <v>0</v>
      </c>
      <c r="K22" s="4">
        <f>IF(J22&lt;'Параметры ПФ'!$N$7+0.01,'Дистанционные программы'!J22,ROUNDDOWN('Параметры ПФ'!$N$7/IF(H22=0,I22,IF(I22&gt;H22,H22,I22)),0)*IF(H22=0,I22,IF(I22&gt;H22,H22,I22)))</f>
        <v>0</v>
      </c>
      <c r="L22" s="3">
        <f t="shared" si="0"/>
        <v>0</v>
      </c>
      <c r="M22" s="26">
        <f>IF(J22&lt;'Параметры ПФ'!$N$7+0.01,E22*F22*G22,ROUNDDOWN('Параметры ПФ'!$N$7/IF(H22=0,I22,IF(I22&gt;H22,H22,I22)),0)*G22)</f>
        <v>0</v>
      </c>
      <c r="N22" s="20">
        <f t="shared" si="2"/>
        <v>0</v>
      </c>
    </row>
    <row r="23" spans="1:14" x14ac:dyDescent="0.25">
      <c r="A23" s="2" t="s">
        <v>2</v>
      </c>
      <c r="B23" s="2"/>
      <c r="C23" s="2" t="s">
        <v>4</v>
      </c>
      <c r="D23" s="16"/>
      <c r="E23" s="16"/>
      <c r="F23" s="17"/>
      <c r="G23" s="17"/>
      <c r="H23" s="18"/>
      <c r="I23" s="3">
        <f>HLOOKUP($C23,'Параметры ПФ'!$F$3:$K$8,6,FALSE)*'Параметры ПФ'!$G$21</f>
        <v>68.08</v>
      </c>
      <c r="J23" s="3">
        <f t="shared" si="1"/>
        <v>0</v>
      </c>
      <c r="K23" s="4">
        <f>IF(J23&lt;'Параметры ПФ'!$N$7+0.01,'Дистанционные программы'!J23,ROUNDDOWN('Параметры ПФ'!$N$7/IF(H23=0,I23,IF(I23&gt;H23,H23,I23)),0)*IF(H23=0,I23,IF(I23&gt;H23,H23,I23)))</f>
        <v>0</v>
      </c>
      <c r="L23" s="3">
        <f t="shared" si="0"/>
        <v>0</v>
      </c>
      <c r="M23" s="26">
        <f>IF(J23&lt;'Параметры ПФ'!$N$7+0.01,E23*F23*G23,ROUNDDOWN('Параметры ПФ'!$N$7/IF(H23=0,I23,IF(I23&gt;H23,H23,I23)),0)*G23)</f>
        <v>0</v>
      </c>
      <c r="N23" s="20">
        <f t="shared" si="2"/>
        <v>0</v>
      </c>
    </row>
    <row r="24" spans="1:14" x14ac:dyDescent="0.25">
      <c r="A24" s="2" t="s">
        <v>2</v>
      </c>
      <c r="B24" s="2"/>
      <c r="C24" s="2" t="s">
        <v>4</v>
      </c>
      <c r="D24" s="16"/>
      <c r="E24" s="16"/>
      <c r="F24" s="17"/>
      <c r="G24" s="17"/>
      <c r="H24" s="18"/>
      <c r="I24" s="3">
        <f>HLOOKUP($C24,'Параметры ПФ'!$F$3:$K$8,6,FALSE)*'Параметры ПФ'!$G$21</f>
        <v>68.08</v>
      </c>
      <c r="J24" s="3">
        <f t="shared" si="1"/>
        <v>0</v>
      </c>
      <c r="K24" s="4">
        <f>IF(J24&lt;'Параметры ПФ'!$N$7+0.01,'Дистанционные программы'!J24,ROUNDDOWN('Параметры ПФ'!$N$7/IF(H24=0,I24,IF(I24&gt;H24,H24,I24)),0)*IF(H24=0,I24,IF(I24&gt;H24,H24,I24)))</f>
        <v>0</v>
      </c>
      <c r="L24" s="3">
        <f t="shared" si="0"/>
        <v>0</v>
      </c>
      <c r="M24" s="26">
        <f>IF(J24&lt;'Параметры ПФ'!$N$7+0.01,E24*F24*G24,ROUNDDOWN('Параметры ПФ'!$N$7/IF(H24=0,I24,IF(I24&gt;H24,H24,I24)),0)*G24)</f>
        <v>0</v>
      </c>
      <c r="N24" s="20">
        <f t="shared" si="2"/>
        <v>0</v>
      </c>
    </row>
    <row r="25" spans="1:14" x14ac:dyDescent="0.25">
      <c r="A25" s="2" t="s">
        <v>2</v>
      </c>
      <c r="B25" s="2"/>
      <c r="C25" s="2" t="s">
        <v>4</v>
      </c>
      <c r="D25" s="16"/>
      <c r="E25" s="16"/>
      <c r="F25" s="17"/>
      <c r="G25" s="17"/>
      <c r="H25" s="18"/>
      <c r="I25" s="3">
        <f>HLOOKUP($C25,'Параметры ПФ'!$F$3:$K$8,6,FALSE)*'Параметры ПФ'!$G$21</f>
        <v>68.08</v>
      </c>
      <c r="J25" s="3">
        <f t="shared" si="1"/>
        <v>0</v>
      </c>
      <c r="K25" s="4">
        <f>IF(J25&lt;'Параметры ПФ'!$N$7+0.01,'Дистанционные программы'!J25,ROUNDDOWN('Параметры ПФ'!$N$7/IF(H25=0,I25,IF(I25&gt;H25,H25,I25)),0)*IF(H25=0,I25,IF(I25&gt;H25,H25,I25)))</f>
        <v>0</v>
      </c>
      <c r="L25" s="3">
        <f t="shared" si="0"/>
        <v>0</v>
      </c>
      <c r="M25" s="26">
        <f>IF(J25&lt;'Параметры ПФ'!$N$7+0.01,E25*F25*G25,ROUNDDOWN('Параметры ПФ'!$N$7/IF(H25=0,I25,IF(I25&gt;H25,H25,I25)),0)*G25)</f>
        <v>0</v>
      </c>
      <c r="N25" s="20">
        <f t="shared" si="2"/>
        <v>0</v>
      </c>
    </row>
    <row r="26" spans="1:14" x14ac:dyDescent="0.25">
      <c r="A26" s="2" t="s">
        <v>2</v>
      </c>
      <c r="B26" s="2"/>
      <c r="C26" s="2" t="s">
        <v>4</v>
      </c>
      <c r="D26" s="16"/>
      <c r="E26" s="16"/>
      <c r="F26" s="17"/>
      <c r="G26" s="17"/>
      <c r="H26" s="18"/>
      <c r="I26" s="3">
        <f>HLOOKUP($C26,'Параметры ПФ'!$F$3:$K$8,6,FALSE)*'Параметры ПФ'!$G$21</f>
        <v>68.08</v>
      </c>
      <c r="J26" s="3">
        <f t="shared" si="1"/>
        <v>0</v>
      </c>
      <c r="K26" s="4">
        <f>IF(J26&lt;'Параметры ПФ'!$N$7+0.01,'Дистанционные программы'!J26,ROUNDDOWN('Параметры ПФ'!$N$7/IF(H26=0,I26,IF(I26&gt;H26,H26,I26)),0)*IF(H26=0,I26,IF(I26&gt;H26,H26,I26)))</f>
        <v>0</v>
      </c>
      <c r="L26" s="3">
        <f t="shared" si="0"/>
        <v>0</v>
      </c>
      <c r="M26" s="26">
        <f>IF(J26&lt;'Параметры ПФ'!$N$7+0.01,E26*F26*G26,ROUNDDOWN('Параметры ПФ'!$N$7/IF(H26=0,I26,IF(I26&gt;H26,H26,I26)),0)*G26)</f>
        <v>0</v>
      </c>
      <c r="N26" s="20">
        <f t="shared" si="2"/>
        <v>0</v>
      </c>
    </row>
    <row r="27" spans="1:14" x14ac:dyDescent="0.25">
      <c r="A27" s="2" t="s">
        <v>2</v>
      </c>
      <c r="B27" s="2"/>
      <c r="C27" s="2" t="s">
        <v>4</v>
      </c>
      <c r="D27" s="16"/>
      <c r="E27" s="16"/>
      <c r="F27" s="17"/>
      <c r="G27" s="17"/>
      <c r="H27" s="18"/>
      <c r="I27" s="3">
        <f>HLOOKUP($C27,'Параметры ПФ'!$F$3:$K$8,6,FALSE)*'Параметры ПФ'!$G$21</f>
        <v>68.08</v>
      </c>
      <c r="J27" s="3">
        <f t="shared" si="1"/>
        <v>0</v>
      </c>
      <c r="K27" s="4">
        <f>IF(J27&lt;'Параметры ПФ'!$N$7+0.01,'Дистанционные программы'!J27,ROUNDDOWN('Параметры ПФ'!$N$7/IF(H27=0,I27,IF(I27&gt;H27,H27,I27)),0)*IF(H27=0,I27,IF(I27&gt;H27,H27,I27)))</f>
        <v>0</v>
      </c>
      <c r="L27" s="3">
        <f t="shared" si="0"/>
        <v>0</v>
      </c>
      <c r="M27" s="26">
        <f>IF(J27&lt;'Параметры ПФ'!$N$7+0.01,E27*F27*G27,ROUNDDOWN('Параметры ПФ'!$N$7/IF(H27=0,I27,IF(I27&gt;H27,H27,I27)),0)*G27)</f>
        <v>0</v>
      </c>
      <c r="N27" s="20">
        <f t="shared" si="2"/>
        <v>0</v>
      </c>
    </row>
    <row r="28" spans="1:14" x14ac:dyDescent="0.25">
      <c r="A28" s="2" t="s">
        <v>2</v>
      </c>
      <c r="B28" s="2"/>
      <c r="C28" s="2" t="s">
        <v>4</v>
      </c>
      <c r="D28" s="16"/>
      <c r="E28" s="16"/>
      <c r="F28" s="17"/>
      <c r="G28" s="17"/>
      <c r="H28" s="18"/>
      <c r="I28" s="3">
        <f>HLOOKUP($C28,'Параметры ПФ'!$F$3:$K$8,6,FALSE)*'Параметры ПФ'!$G$21</f>
        <v>68.08</v>
      </c>
      <c r="J28" s="3">
        <f t="shared" si="1"/>
        <v>0</v>
      </c>
      <c r="K28" s="4">
        <f>IF(J28&lt;'Параметры ПФ'!$N$7+0.01,'Дистанционные программы'!J28,ROUNDDOWN('Параметры ПФ'!$N$7/IF(H28=0,I28,IF(I28&gt;H28,H28,I28)),0)*IF(H28=0,I28,IF(I28&gt;H28,H28,I28)))</f>
        <v>0</v>
      </c>
      <c r="L28" s="3">
        <f t="shared" si="0"/>
        <v>0</v>
      </c>
      <c r="M28" s="26">
        <f>IF(J28&lt;'Параметры ПФ'!$N$7+0.01,E28*F28*G28,ROUNDDOWN('Параметры ПФ'!$N$7/IF(H28=0,I28,IF(I28&gt;H28,H28,I28)),0)*G28)</f>
        <v>0</v>
      </c>
      <c r="N28" s="20">
        <f t="shared" si="2"/>
        <v>0</v>
      </c>
    </row>
    <row r="29" spans="1:14" x14ac:dyDescent="0.25">
      <c r="A29" s="2" t="s">
        <v>2</v>
      </c>
      <c r="B29" s="2"/>
      <c r="C29" s="2" t="s">
        <v>4</v>
      </c>
      <c r="D29" s="16"/>
      <c r="E29" s="16"/>
      <c r="F29" s="17"/>
      <c r="G29" s="17"/>
      <c r="H29" s="18"/>
      <c r="I29" s="3">
        <f>HLOOKUP($C29,'Параметры ПФ'!$F$3:$K$8,6,FALSE)*'Параметры ПФ'!$G$21</f>
        <v>68.08</v>
      </c>
      <c r="J29" s="3">
        <f t="shared" si="1"/>
        <v>0</v>
      </c>
      <c r="K29" s="4">
        <f>IF(J29&lt;'Параметры ПФ'!$N$7+0.01,'Дистанционные программы'!J29,ROUNDDOWN('Параметры ПФ'!$N$7/IF(H29=0,I29,IF(I29&gt;H29,H29,I29)),0)*IF(H29=0,I29,IF(I29&gt;H29,H29,I29)))</f>
        <v>0</v>
      </c>
      <c r="L29" s="3">
        <f t="shared" si="0"/>
        <v>0</v>
      </c>
      <c r="M29" s="26">
        <f>IF(J29&lt;'Параметры ПФ'!$N$7+0.01,E29*F29*G29,ROUNDDOWN('Параметры ПФ'!$N$7/IF(H29=0,I29,IF(I29&gt;H29,H29,I29)),0)*G29)</f>
        <v>0</v>
      </c>
      <c r="N29" s="20">
        <f t="shared" si="2"/>
        <v>0</v>
      </c>
    </row>
    <row r="30" spans="1:14" x14ac:dyDescent="0.25">
      <c r="A30" s="2" t="s">
        <v>2</v>
      </c>
      <c r="B30" s="2"/>
      <c r="C30" s="2" t="s">
        <v>4</v>
      </c>
      <c r="D30" s="16"/>
      <c r="E30" s="16"/>
      <c r="F30" s="17"/>
      <c r="G30" s="17"/>
      <c r="H30" s="18"/>
      <c r="I30" s="3">
        <f>HLOOKUP($C30,'Параметры ПФ'!$F$3:$K$8,6,FALSE)*'Параметры ПФ'!$G$21</f>
        <v>68.08</v>
      </c>
      <c r="J30" s="3">
        <f t="shared" si="1"/>
        <v>0</v>
      </c>
      <c r="K30" s="4">
        <f>IF(J30&lt;'Параметры ПФ'!$N$7+0.01,'Дистанционные программы'!J30,ROUNDDOWN('Параметры ПФ'!$N$7/IF(H30=0,I30,IF(I30&gt;H30,H30,I30)),0)*IF(H30=0,I30,IF(I30&gt;H30,H30,I30)))</f>
        <v>0</v>
      </c>
      <c r="L30" s="3">
        <f t="shared" si="0"/>
        <v>0</v>
      </c>
      <c r="M30" s="26">
        <f>IF(J30&lt;'Параметры ПФ'!$N$7+0.01,E30*F30*G30,ROUNDDOWN('Параметры ПФ'!$N$7/IF(H30=0,I30,IF(I30&gt;H30,H30,I30)),0)*G30)</f>
        <v>0</v>
      </c>
      <c r="N30" s="20">
        <f t="shared" si="2"/>
        <v>0</v>
      </c>
    </row>
    <row r="31" spans="1:14" x14ac:dyDescent="0.25">
      <c r="A31" s="2" t="s">
        <v>2</v>
      </c>
      <c r="B31" s="2"/>
      <c r="C31" s="2" t="s">
        <v>4</v>
      </c>
      <c r="D31" s="16"/>
      <c r="E31" s="16"/>
      <c r="F31" s="17"/>
      <c r="G31" s="17"/>
      <c r="H31" s="18"/>
      <c r="I31" s="3">
        <f>HLOOKUP($C31,'Параметры ПФ'!$F$3:$K$8,6,FALSE)*'Параметры ПФ'!$G$21</f>
        <v>68.08</v>
      </c>
      <c r="J31" s="3">
        <f t="shared" si="1"/>
        <v>0</v>
      </c>
      <c r="K31" s="4">
        <f>IF(J31&lt;'Параметры ПФ'!$N$7+0.01,'Дистанционные программы'!J31,ROUNDDOWN('Параметры ПФ'!$N$7/IF(H31=0,I31,IF(I31&gt;H31,H31,I31)),0)*IF(H31=0,I31,IF(I31&gt;H31,H31,I31)))</f>
        <v>0</v>
      </c>
      <c r="L31" s="3">
        <f t="shared" si="0"/>
        <v>0</v>
      </c>
      <c r="M31" s="26">
        <f>IF(J31&lt;'Параметры ПФ'!$N$7+0.01,E31*F31*G31,ROUNDDOWN('Параметры ПФ'!$N$7/IF(H31=0,I31,IF(I31&gt;H31,H31,I31)),0)*G31)</f>
        <v>0</v>
      </c>
      <c r="N31" s="20">
        <f t="shared" si="2"/>
        <v>0</v>
      </c>
    </row>
    <row r="32" spans="1:14" x14ac:dyDescent="0.25">
      <c r="A32" s="2" t="s">
        <v>2</v>
      </c>
      <c r="B32" s="2"/>
      <c r="C32" s="2" t="s">
        <v>4</v>
      </c>
      <c r="D32" s="16"/>
      <c r="E32" s="16"/>
      <c r="F32" s="17"/>
      <c r="G32" s="17"/>
      <c r="H32" s="18"/>
      <c r="I32" s="3">
        <f>HLOOKUP($C32,'Параметры ПФ'!$F$3:$K$8,6,FALSE)*'Параметры ПФ'!$G$21</f>
        <v>68.08</v>
      </c>
      <c r="J32" s="3">
        <f t="shared" si="1"/>
        <v>0</v>
      </c>
      <c r="K32" s="4">
        <f>IF(J32&lt;'Параметры ПФ'!$N$7+0.01,'Дистанционные программы'!J32,ROUNDDOWN('Параметры ПФ'!$N$7/IF(H32=0,I32,IF(I32&gt;H32,H32,I32)),0)*IF(H32=0,I32,IF(I32&gt;H32,H32,I32)))</f>
        <v>0</v>
      </c>
      <c r="L32" s="3">
        <f t="shared" si="0"/>
        <v>0</v>
      </c>
      <c r="M32" s="26">
        <f>IF(J32&lt;'Параметры ПФ'!$N$7+0.01,E32*F32*G32,ROUNDDOWN('Параметры ПФ'!$N$7/IF(H32=0,I32,IF(I32&gt;H32,H32,I32)),0)*G32)</f>
        <v>0</v>
      </c>
      <c r="N32" s="20">
        <f t="shared" si="2"/>
        <v>0</v>
      </c>
    </row>
    <row r="33" spans="1:14" x14ac:dyDescent="0.25">
      <c r="A33" s="2" t="s">
        <v>2</v>
      </c>
      <c r="B33" s="2"/>
      <c r="C33" s="2" t="s">
        <v>4</v>
      </c>
      <c r="D33" s="16"/>
      <c r="E33" s="16"/>
      <c r="F33" s="17"/>
      <c r="G33" s="17"/>
      <c r="H33" s="18"/>
      <c r="I33" s="3">
        <f>HLOOKUP($C33,'Параметры ПФ'!$F$3:$K$8,6,FALSE)*'Параметры ПФ'!$G$21</f>
        <v>68.08</v>
      </c>
      <c r="J33" s="3">
        <f t="shared" si="1"/>
        <v>0</v>
      </c>
      <c r="K33" s="4">
        <f>IF(J33&lt;'Параметры ПФ'!$N$7+0.01,'Дистанционные программы'!J33,ROUNDDOWN('Параметры ПФ'!$N$7/IF(H33=0,I33,IF(I33&gt;H33,H33,I33)),0)*IF(H33=0,I33,IF(I33&gt;H33,H33,I33)))</f>
        <v>0</v>
      </c>
      <c r="L33" s="3">
        <f t="shared" si="0"/>
        <v>0</v>
      </c>
      <c r="M33" s="26">
        <f>IF(J33&lt;'Параметры ПФ'!$N$7+0.01,E33*F33*G33,ROUNDDOWN('Параметры ПФ'!$N$7/IF(H33=0,I33,IF(I33&gt;H33,H33,I33)),0)*G33)</f>
        <v>0</v>
      </c>
      <c r="N33" s="20">
        <f t="shared" si="2"/>
        <v>0</v>
      </c>
    </row>
    <row r="34" spans="1:14" x14ac:dyDescent="0.25">
      <c r="A34" s="2" t="s">
        <v>2</v>
      </c>
      <c r="B34" s="2"/>
      <c r="C34" s="2" t="s">
        <v>4</v>
      </c>
      <c r="D34" s="16"/>
      <c r="E34" s="16"/>
      <c r="F34" s="17"/>
      <c r="G34" s="17"/>
      <c r="H34" s="18"/>
      <c r="I34" s="3">
        <f>HLOOKUP($C34,'Параметры ПФ'!$F$3:$K$8,6,FALSE)*'Параметры ПФ'!$G$21</f>
        <v>68.08</v>
      </c>
      <c r="J34" s="3">
        <f t="shared" si="1"/>
        <v>0</v>
      </c>
      <c r="K34" s="4">
        <f>IF(J34&lt;'Параметры ПФ'!$N$7+0.01,'Дистанционные программы'!J34,ROUNDDOWN('Параметры ПФ'!$N$7/IF(H34=0,I34,IF(I34&gt;H34,H34,I34)),0)*IF(H34=0,I34,IF(I34&gt;H34,H34,I34)))</f>
        <v>0</v>
      </c>
      <c r="L34" s="3">
        <f t="shared" si="0"/>
        <v>0</v>
      </c>
      <c r="M34" s="26">
        <f>IF(J34&lt;'Параметры ПФ'!$N$7+0.01,E34*F34*G34,ROUNDDOWN('Параметры ПФ'!$N$7/IF(H34=0,I34,IF(I34&gt;H34,H34,I34)),0)*G34)</f>
        <v>0</v>
      </c>
      <c r="N34" s="20">
        <f t="shared" si="2"/>
        <v>0</v>
      </c>
    </row>
    <row r="35" spans="1:14" x14ac:dyDescent="0.25">
      <c r="A35" s="2" t="s">
        <v>2</v>
      </c>
      <c r="B35" s="2"/>
      <c r="C35" s="2" t="s">
        <v>4</v>
      </c>
      <c r="D35" s="16"/>
      <c r="E35" s="16"/>
      <c r="F35" s="17"/>
      <c r="G35" s="17"/>
      <c r="H35" s="18"/>
      <c r="I35" s="3">
        <f>HLOOKUP($C35,'Параметры ПФ'!$F$3:$K$8,6,FALSE)*'Параметры ПФ'!$G$21</f>
        <v>68.08</v>
      </c>
      <c r="J35" s="3">
        <f t="shared" si="1"/>
        <v>0</v>
      </c>
      <c r="K35" s="4">
        <f>IF(J35&lt;'Параметры ПФ'!$N$7+0.01,'Дистанционные программы'!J35,ROUNDDOWN('Параметры ПФ'!$N$7/IF(H35=0,I35,IF(I35&gt;H35,H35,I35)),0)*IF(H35=0,I35,IF(I35&gt;H35,H35,I35)))</f>
        <v>0</v>
      </c>
      <c r="L35" s="3">
        <f t="shared" si="0"/>
        <v>0</v>
      </c>
      <c r="M35" s="26">
        <f>IF(J35&lt;'Параметры ПФ'!$N$7+0.01,E35*F35*G35,ROUNDDOWN('Параметры ПФ'!$N$7/IF(H35=0,I35,IF(I35&gt;H35,H35,I35)),0)*G35)</f>
        <v>0</v>
      </c>
      <c r="N35" s="20">
        <f t="shared" si="2"/>
        <v>0</v>
      </c>
    </row>
    <row r="36" spans="1:14" x14ac:dyDescent="0.25">
      <c r="A36" s="2" t="s">
        <v>2</v>
      </c>
      <c r="B36" s="2"/>
      <c r="C36" s="2" t="s">
        <v>4</v>
      </c>
      <c r="D36" s="16"/>
      <c r="E36" s="16"/>
      <c r="F36" s="17"/>
      <c r="G36" s="17"/>
      <c r="H36" s="18"/>
      <c r="I36" s="3">
        <f>HLOOKUP($C36,'Параметры ПФ'!$F$3:$K$8,6,FALSE)*'Параметры ПФ'!$G$21</f>
        <v>68.08</v>
      </c>
      <c r="J36" s="3">
        <f t="shared" si="1"/>
        <v>0</v>
      </c>
      <c r="K36" s="4">
        <f>IF(J36&lt;'Параметры ПФ'!$N$7+0.01,'Дистанционные программы'!J36,ROUNDDOWN('Параметры ПФ'!$N$7/IF(H36=0,I36,IF(I36&gt;H36,H36,I36)),0)*IF(H36=0,I36,IF(I36&gt;H36,H36,I36)))</f>
        <v>0</v>
      </c>
      <c r="L36" s="3">
        <f t="shared" si="0"/>
        <v>0</v>
      </c>
      <c r="M36" s="26">
        <f>IF(J36&lt;'Параметры ПФ'!$N$7+0.01,E36*F36*G36,ROUNDDOWN('Параметры ПФ'!$N$7/IF(H36=0,I36,IF(I36&gt;H36,H36,I36)),0)*G36)</f>
        <v>0</v>
      </c>
      <c r="N36" s="20">
        <f t="shared" si="2"/>
        <v>0</v>
      </c>
    </row>
    <row r="37" spans="1:14" x14ac:dyDescent="0.25">
      <c r="A37" s="2" t="s">
        <v>2</v>
      </c>
      <c r="B37" s="2"/>
      <c r="C37" s="2" t="s">
        <v>4</v>
      </c>
      <c r="D37" s="16"/>
      <c r="E37" s="16"/>
      <c r="F37" s="17"/>
      <c r="G37" s="17"/>
      <c r="H37" s="18"/>
      <c r="I37" s="3">
        <f>HLOOKUP($C37,'Параметры ПФ'!$F$3:$K$8,6,FALSE)*'Параметры ПФ'!$G$21</f>
        <v>68.08</v>
      </c>
      <c r="J37" s="3">
        <f t="shared" si="1"/>
        <v>0</v>
      </c>
      <c r="K37" s="4">
        <f>IF(J37&lt;'Параметры ПФ'!$N$7+0.01,'Дистанционные программы'!J37,ROUNDDOWN('Параметры ПФ'!$N$7/IF(H37=0,I37,IF(I37&gt;H37,H37,I37)),0)*IF(H37=0,I37,IF(I37&gt;H37,H37,I37)))</f>
        <v>0</v>
      </c>
      <c r="L37" s="3">
        <f t="shared" si="0"/>
        <v>0</v>
      </c>
      <c r="M37" s="26">
        <f>IF(J37&lt;'Параметры ПФ'!$N$7+0.01,E37*F37*G37,ROUNDDOWN('Параметры ПФ'!$N$7/IF(H37=0,I37,IF(I37&gt;H37,H37,I37)),0)*G37)</f>
        <v>0</v>
      </c>
      <c r="N37" s="20">
        <f t="shared" si="2"/>
        <v>0</v>
      </c>
    </row>
    <row r="38" spans="1:14" x14ac:dyDescent="0.25">
      <c r="A38" s="2" t="s">
        <v>2</v>
      </c>
      <c r="B38" s="2"/>
      <c r="C38" s="2" t="s">
        <v>4</v>
      </c>
      <c r="D38" s="16"/>
      <c r="E38" s="16"/>
      <c r="F38" s="17"/>
      <c r="G38" s="17"/>
      <c r="H38" s="18"/>
      <c r="I38" s="3">
        <f>HLOOKUP($C38,'Параметры ПФ'!$F$3:$K$8,6,FALSE)*'Параметры ПФ'!$G$21</f>
        <v>68.08</v>
      </c>
      <c r="J38" s="3">
        <f t="shared" si="1"/>
        <v>0</v>
      </c>
      <c r="K38" s="4">
        <f>IF(J38&lt;'Параметры ПФ'!$N$7+0.01,'Дистанционные программы'!J38,ROUNDDOWN('Параметры ПФ'!$N$7/IF(H38=0,I38,IF(I38&gt;H38,H38,I38)),0)*IF(H38=0,I38,IF(I38&gt;H38,H38,I38)))</f>
        <v>0</v>
      </c>
      <c r="L38" s="3">
        <f t="shared" si="0"/>
        <v>0</v>
      </c>
      <c r="M38" s="26">
        <f>IF(J38&lt;'Параметры ПФ'!$N$7+0.01,E38*F38*G38,ROUNDDOWN('Параметры ПФ'!$N$7/IF(H38=0,I38,IF(I38&gt;H38,H38,I38)),0)*G38)</f>
        <v>0</v>
      </c>
      <c r="N38" s="20">
        <f t="shared" si="2"/>
        <v>0</v>
      </c>
    </row>
    <row r="39" spans="1:14" x14ac:dyDescent="0.25">
      <c r="A39" s="90"/>
      <c r="B39" s="90"/>
      <c r="C39" s="90"/>
      <c r="D39" s="90"/>
      <c r="E39" s="90"/>
      <c r="F39" s="90"/>
      <c r="G39" s="5">
        <f>SUM(G2:G38)</f>
        <v>0</v>
      </c>
      <c r="H39" s="6" t="s">
        <v>12</v>
      </c>
      <c r="I39" s="7" t="s">
        <v>12</v>
      </c>
      <c r="J39" s="6" t="s">
        <v>12</v>
      </c>
      <c r="K39" s="7" t="s">
        <v>12</v>
      </c>
      <c r="L39" s="24">
        <f>SUM(L2:L38)</f>
        <v>0</v>
      </c>
      <c r="M39" s="25">
        <f>SUM(M2:M38)</f>
        <v>0</v>
      </c>
      <c r="N39" s="21" t="s">
        <v>12</v>
      </c>
    </row>
  </sheetData>
  <autoFilter ref="A1:N39"/>
  <mergeCells count="1">
    <mergeCell ref="A39:F39"/>
  </mergeCells>
  <conditionalFormatting sqref="N2:N38">
    <cfRule type="cellIs" dxfId="2" priority="1" operator="greaterThan">
      <formula>#REF!</formula>
    </cfRule>
  </conditionalFormatting>
  <pageMargins left="0.70866141732283472" right="0.70866141732283472" top="0.74803149606299213" bottom="0.74803149606299213" header="0.31496062992125984" footer="0.31496062992125984"/>
  <pageSetup paperSize="9" scale="52" fitToHeight="0" orientation="landscape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allowBlank="1" showInputMessage="1" showErrorMessage="1" errorTitle="Ошибка" error="Направленность не из списка!" promptTitle="Направленность" prompt="Выберите направленность из списка">
          <x14:formula1>
            <xm:f>'F:\Users\alexkostin\Library\Containers\com.microsoft.Excel\Data\Documents\F:\Навигаторы\РЕГИОНЫ\Москва\[19. Сходимость модели ПФ ДОД МО.xlsx]Справочники'!#REF!</xm:f>
          </x14:formula1>
          <xm:sqref>C40:E1048576</xm:sqref>
        </x14:dataValidation>
        <x14:dataValidation type="list" allowBlank="1" showInputMessage="1" showErrorMessage="1">
          <x14:formula1>
            <xm:f>'Параметры ПФ'!$F$3:$K$3</xm:f>
          </x14:formula1>
          <xm:sqref>C2:C38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tabSelected="1" zoomScale="70" zoomScaleNormal="70" workbookViewId="0">
      <selection activeCell="C55" sqref="C55"/>
    </sheetView>
  </sheetViews>
  <sheetFormatPr defaultColWidth="11" defaultRowHeight="15.75" x14ac:dyDescent="0.25"/>
  <cols>
    <col min="1" max="1" width="25.375" style="9" customWidth="1"/>
    <col min="2" max="2" width="34.5" style="9" customWidth="1"/>
    <col min="3" max="3" width="24.125" style="9" customWidth="1"/>
    <col min="4" max="4" width="11.5" style="9" customWidth="1"/>
    <col min="5" max="5" width="12.875" style="9" customWidth="1"/>
    <col min="6" max="6" width="12.125" style="10" customWidth="1"/>
    <col min="7" max="7" width="11.5" style="10" customWidth="1"/>
    <col min="8" max="8" width="12.5" style="11" customWidth="1"/>
    <col min="9" max="9" width="11.125" style="8" customWidth="1"/>
    <col min="10" max="10" width="12" style="8" customWidth="1"/>
    <col min="11" max="11" width="15.625" customWidth="1"/>
    <col min="12" max="12" width="15.375" style="8" customWidth="1"/>
    <col min="13" max="13" width="16.25" style="8" customWidth="1"/>
    <col min="14" max="14" width="19" style="22" customWidth="1"/>
  </cols>
  <sheetData>
    <row r="1" spans="1:14" s="1" customFormat="1" ht="78.75" x14ac:dyDescent="0.25">
      <c r="A1" s="12" t="s">
        <v>8</v>
      </c>
      <c r="B1" s="12" t="s">
        <v>9</v>
      </c>
      <c r="C1" s="12" t="s">
        <v>7</v>
      </c>
      <c r="D1" s="13" t="s">
        <v>6</v>
      </c>
      <c r="E1" s="13" t="s">
        <v>60</v>
      </c>
      <c r="F1" s="13" t="s">
        <v>13</v>
      </c>
      <c r="G1" s="13" t="s">
        <v>10</v>
      </c>
      <c r="H1" s="14" t="s">
        <v>14</v>
      </c>
      <c r="I1" s="15" t="s">
        <v>11</v>
      </c>
      <c r="J1" s="15" t="s">
        <v>61</v>
      </c>
      <c r="K1" s="23" t="s">
        <v>62</v>
      </c>
      <c r="L1" s="15" t="s">
        <v>15</v>
      </c>
      <c r="M1" s="15" t="s">
        <v>16</v>
      </c>
      <c r="N1" s="19" t="s">
        <v>63</v>
      </c>
    </row>
    <row r="2" spans="1:14" x14ac:dyDescent="0.25">
      <c r="A2" s="2" t="s">
        <v>1</v>
      </c>
      <c r="B2" s="2"/>
      <c r="C2" s="2" t="s">
        <v>3</v>
      </c>
      <c r="D2" s="16"/>
      <c r="E2" s="16"/>
      <c r="F2" s="17"/>
      <c r="G2" s="17"/>
      <c r="H2" s="18"/>
      <c r="I2" s="3">
        <f>HLOOKUP($C2,'Параметры ПФ'!$F$3:$K$8,6,FALSE)*'Параметры ПФ'!$G$22</f>
        <v>69.69</v>
      </c>
      <c r="J2" s="3">
        <f>IF(H2=0,I2*F2*E2,IF(I2&gt;H2,H2*F2*E2,I2*F2*E2))</f>
        <v>0</v>
      </c>
      <c r="K2" s="4">
        <f>IF(J2&lt;'Параметры ПФ'!$N$7+0.01,'Очно-заочные программы'!J2,ROUNDDOWN('Параметры ПФ'!$N$7/IF(H2=0,I2,IF(I2&gt;H2,H2,I2)),0)*IF(H2=0,I2,IF(I2&gt;H2,H2,I2)))</f>
        <v>0</v>
      </c>
      <c r="L2" s="3">
        <f t="shared" ref="L2:L38" si="0">K2*G2</f>
        <v>0</v>
      </c>
      <c r="M2" s="26">
        <f>IF(J2&lt;'Параметры ПФ'!$N$7+0.01,E2*F2*G2,ROUNDDOWN('Параметры ПФ'!$N$7/IF(H2=0,I2,IF(I2&gt;H2,H2,I2)),0)*G2)</f>
        <v>0</v>
      </c>
      <c r="N2" s="20">
        <f>IF(H2=0,I2*F2*E2,IF(I2&gt;H2,H2*F2*E2,I2*F2*E2))-K2</f>
        <v>0</v>
      </c>
    </row>
    <row r="3" spans="1:14" x14ac:dyDescent="0.25">
      <c r="A3" s="2" t="s">
        <v>1</v>
      </c>
      <c r="B3" s="2"/>
      <c r="C3" s="2" t="s">
        <v>3</v>
      </c>
      <c r="D3" s="16"/>
      <c r="E3" s="16"/>
      <c r="F3" s="17"/>
      <c r="G3" s="17"/>
      <c r="H3" s="18"/>
      <c r="I3" s="3">
        <f>HLOOKUP($C3,'Параметры ПФ'!$F$3:$K$8,6,FALSE)*'Параметры ПФ'!$G$22</f>
        <v>69.69</v>
      </c>
      <c r="J3" s="3">
        <f>IF(H3=0,I3*F3*E3,IF(I3&gt;H3,H3*F3*E3,I3*F3*E3))</f>
        <v>0</v>
      </c>
      <c r="K3" s="4">
        <f>IF(J3&lt;'Параметры ПФ'!$N$7+0.01,'Очно-заочные программы'!J3,ROUNDDOWN('Параметры ПФ'!$N$7/IF(H3=0,I3,IF(I3&gt;H3,H3,I3)),0)*IF(H3=0,I3,IF(I3&gt;H3,H3,I3)))</f>
        <v>0</v>
      </c>
      <c r="L3" s="3">
        <f t="shared" si="0"/>
        <v>0</v>
      </c>
      <c r="M3" s="26">
        <f>IF(J3&lt;'Параметры ПФ'!$N$7+0.01,E3*F3*G3,ROUNDDOWN('Параметры ПФ'!$N$7/IF(H3=0,I3,IF(I3&gt;H3,H3,I3)),0)*G3)</f>
        <v>0</v>
      </c>
      <c r="N3" s="20">
        <f>IF(H3=0,I3*F3*E3,IF(I3&gt;H3,H3*F3*E3,I3*F3*E3))-K3</f>
        <v>0</v>
      </c>
    </row>
    <row r="4" spans="1:14" x14ac:dyDescent="0.25">
      <c r="A4" s="2" t="s">
        <v>2</v>
      </c>
      <c r="B4" s="2"/>
      <c r="C4" s="2" t="s">
        <v>3</v>
      </c>
      <c r="D4" s="16"/>
      <c r="E4" s="16"/>
      <c r="F4" s="17"/>
      <c r="G4" s="17"/>
      <c r="H4" s="18"/>
      <c r="I4" s="3">
        <f>HLOOKUP($C4,'Параметры ПФ'!$F$3:$K$8,6,FALSE)*'Параметры ПФ'!$G$22</f>
        <v>69.69</v>
      </c>
      <c r="J4" s="3">
        <f>IF(H4=0,I4*F4*E4,IF(I4&gt;H4,H4*F4*E4,I4*F4*E4))</f>
        <v>0</v>
      </c>
      <c r="K4" s="4">
        <f>IF(J4&lt;'Параметры ПФ'!$N$7+0.01,'Очно-заочные программы'!J4,ROUNDDOWN('Параметры ПФ'!$N$7/IF(H4=0,I4,IF(I4&gt;H4,H4,I4)),0)*IF(H4=0,I4,IF(I4&gt;H4,H4,I4)))</f>
        <v>0</v>
      </c>
      <c r="L4" s="3">
        <f t="shared" si="0"/>
        <v>0</v>
      </c>
      <c r="M4" s="26">
        <f>IF(J4&lt;'Параметры ПФ'!$N$7+0.01,E4*F4*G4,ROUNDDOWN('Параметры ПФ'!$N$7/IF(H4=0,I4,IF(I4&gt;H4,H4,I4)),0)*G4)</f>
        <v>0</v>
      </c>
      <c r="N4" s="20">
        <f>IF(H4=0,I4*F4*E4,IF(I4&gt;H4,H4*F4*E4,I4*F4*E4))-K4</f>
        <v>0</v>
      </c>
    </row>
    <row r="5" spans="1:14" x14ac:dyDescent="0.25">
      <c r="A5" s="2" t="s">
        <v>1</v>
      </c>
      <c r="B5" s="2"/>
      <c r="C5" s="2" t="s">
        <v>3</v>
      </c>
      <c r="D5" s="16"/>
      <c r="E5" s="16"/>
      <c r="F5" s="17"/>
      <c r="G5" s="17"/>
      <c r="H5" s="18"/>
      <c r="I5" s="3">
        <f>HLOOKUP($C5,'Параметры ПФ'!$F$3:$K$8,6,FALSE)*'Параметры ПФ'!$G$22</f>
        <v>69.69</v>
      </c>
      <c r="J5" s="3">
        <f t="shared" ref="J5:J38" si="1">IF(H5=0,I5*F5*E5,IF(I5&gt;H5,H5*F5*E5,I5*F5*E5))</f>
        <v>0</v>
      </c>
      <c r="K5" s="4">
        <f>IF(J5&lt;'Параметры ПФ'!$N$7+0.01,'Очно-заочные программы'!J5,ROUNDDOWN('Параметры ПФ'!$N$7/IF(H5=0,I5,IF(I5&gt;H5,H5,I5)),0)*IF(H5=0,I5,IF(I5&gt;H5,H5,I5)))</f>
        <v>0</v>
      </c>
      <c r="L5" s="3">
        <f t="shared" si="0"/>
        <v>0</v>
      </c>
      <c r="M5" s="26">
        <f>IF(J5&lt;'Параметры ПФ'!$N$7+0.01,E5*F5*G5,ROUNDDOWN('Параметры ПФ'!$N$7/IF(H5=0,I5,IF(I5&gt;H5,H5,I5)),0)*G5)</f>
        <v>0</v>
      </c>
      <c r="N5" s="20">
        <f t="shared" ref="N5:N38" si="2">IF(H5=0,I5*F5*E5,IF(I5&gt;H5,H5*F5*E5,I5*F5*E5))-K5</f>
        <v>0</v>
      </c>
    </row>
    <row r="6" spans="1:14" x14ac:dyDescent="0.25">
      <c r="A6" s="2" t="s">
        <v>2</v>
      </c>
      <c r="B6" s="2"/>
      <c r="C6" s="2" t="s">
        <v>4</v>
      </c>
      <c r="D6" s="16"/>
      <c r="E6" s="16"/>
      <c r="F6" s="17"/>
      <c r="G6" s="17"/>
      <c r="H6" s="18"/>
      <c r="I6" s="3">
        <f>HLOOKUP($C6,'Параметры ПФ'!$F$3:$K$8,6,FALSE)*'Параметры ПФ'!$G$22</f>
        <v>68.08</v>
      </c>
      <c r="J6" s="3">
        <f t="shared" si="1"/>
        <v>0</v>
      </c>
      <c r="K6" s="4">
        <f>IF(J6&lt;'Параметры ПФ'!$N$7+0.01,'Очно-заочные программы'!J6,ROUNDDOWN('Параметры ПФ'!$N$7/IF(H6=0,I6,IF(I6&gt;H6,H6,I6)),0)*IF(H6=0,I6,IF(I6&gt;H6,H6,I6)))</f>
        <v>0</v>
      </c>
      <c r="L6" s="3">
        <f t="shared" si="0"/>
        <v>0</v>
      </c>
      <c r="M6" s="26">
        <f>IF(J6&lt;'Параметры ПФ'!$N$7+0.01,E6*F6*G6,ROUNDDOWN('Параметры ПФ'!$N$7/IF(H6=0,I6,IF(I6&gt;H6,H6,I6)),0)*G6)</f>
        <v>0</v>
      </c>
      <c r="N6" s="20">
        <f t="shared" si="2"/>
        <v>0</v>
      </c>
    </row>
    <row r="7" spans="1:14" x14ac:dyDescent="0.25">
      <c r="A7" s="2" t="s">
        <v>2</v>
      </c>
      <c r="B7" s="2"/>
      <c r="C7" s="2" t="s">
        <v>4</v>
      </c>
      <c r="D7" s="16"/>
      <c r="E7" s="16"/>
      <c r="F7" s="17"/>
      <c r="G7" s="17"/>
      <c r="H7" s="18"/>
      <c r="I7" s="3">
        <f>HLOOKUP($C7,'Параметры ПФ'!$F$3:$K$8,6,FALSE)*'Параметры ПФ'!$G$22</f>
        <v>68.08</v>
      </c>
      <c r="J7" s="3">
        <f t="shared" si="1"/>
        <v>0</v>
      </c>
      <c r="K7" s="4">
        <f>IF(J7&lt;'Параметры ПФ'!$N$7+0.01,'Очно-заочные программы'!J7,ROUNDDOWN('Параметры ПФ'!$N$7/IF(H7=0,I7,IF(I7&gt;H7,H7,I7)),0)*IF(H7=0,I7,IF(I7&gt;H7,H7,I7)))</f>
        <v>0</v>
      </c>
      <c r="L7" s="3">
        <f t="shared" si="0"/>
        <v>0</v>
      </c>
      <c r="M7" s="26">
        <f>IF(J7&lt;'Параметры ПФ'!$N$7+0.01,E7*F7*G7,ROUNDDOWN('Параметры ПФ'!$N$7/IF(H7=0,I7,IF(I7&gt;H7,H7,I7)),0)*G7)</f>
        <v>0</v>
      </c>
      <c r="N7" s="20">
        <f t="shared" si="2"/>
        <v>0</v>
      </c>
    </row>
    <row r="8" spans="1:14" x14ac:dyDescent="0.25">
      <c r="A8" s="2" t="s">
        <v>44</v>
      </c>
      <c r="B8" s="2"/>
      <c r="C8" s="2" t="s">
        <v>4</v>
      </c>
      <c r="D8" s="16"/>
      <c r="E8" s="16"/>
      <c r="F8" s="17"/>
      <c r="G8" s="17"/>
      <c r="H8" s="18"/>
      <c r="I8" s="3">
        <f>HLOOKUP($C8,'Параметры ПФ'!$F$3:$K$8,6,FALSE)*'Параметры ПФ'!$G$22</f>
        <v>68.08</v>
      </c>
      <c r="J8" s="3">
        <f t="shared" si="1"/>
        <v>0</v>
      </c>
      <c r="K8" s="4">
        <f>IF(J8&lt;'Параметры ПФ'!$N$7+0.01,'Очно-заочные программы'!J8,ROUNDDOWN('Параметры ПФ'!$N$7/IF(H8=0,I8,IF(I8&gt;H8,H8,I8)),0)*IF(H8=0,I8,IF(I8&gt;H8,H8,I8)))</f>
        <v>0</v>
      </c>
      <c r="L8" s="3">
        <f t="shared" si="0"/>
        <v>0</v>
      </c>
      <c r="M8" s="26">
        <f>IF(J8&lt;'Параметры ПФ'!$N$7+0.01,E8*F8*G8,ROUNDDOWN('Параметры ПФ'!$N$7/IF(H8=0,I8,IF(I8&gt;H8,H8,I8)),0)*G8)</f>
        <v>0</v>
      </c>
      <c r="N8" s="20">
        <f t="shared" si="2"/>
        <v>0</v>
      </c>
    </row>
    <row r="9" spans="1:14" x14ac:dyDescent="0.25">
      <c r="A9" s="2" t="s">
        <v>2</v>
      </c>
      <c r="B9" s="2"/>
      <c r="C9" s="2" t="s">
        <v>4</v>
      </c>
      <c r="D9" s="16"/>
      <c r="E9" s="16"/>
      <c r="F9" s="17"/>
      <c r="G9" s="17"/>
      <c r="H9" s="18"/>
      <c r="I9" s="3">
        <f>HLOOKUP($C9,'Параметры ПФ'!$F$3:$K$8,6,FALSE)*'Параметры ПФ'!$G$22</f>
        <v>68.08</v>
      </c>
      <c r="J9" s="3">
        <f t="shared" si="1"/>
        <v>0</v>
      </c>
      <c r="K9" s="4">
        <f>IF(J9&lt;'Параметры ПФ'!$N$7+0.01,'Очно-заочные программы'!J9,ROUNDDOWN('Параметры ПФ'!$N$7/IF(H9=0,I9,IF(I9&gt;H9,H9,I9)),0)*IF(H9=0,I9,IF(I9&gt;H9,H9,I9)))</f>
        <v>0</v>
      </c>
      <c r="L9" s="3">
        <f t="shared" si="0"/>
        <v>0</v>
      </c>
      <c r="M9" s="26">
        <f>IF(J9&lt;'Параметры ПФ'!$N$7+0.01,E9*F9*G9,ROUNDDOWN('Параметры ПФ'!$N$7/IF(H9=0,I9,IF(I9&gt;H9,H9,I9)),0)*G9)</f>
        <v>0</v>
      </c>
      <c r="N9" s="20">
        <f t="shared" si="2"/>
        <v>0</v>
      </c>
    </row>
    <row r="10" spans="1:14" x14ac:dyDescent="0.25">
      <c r="A10" s="2" t="s">
        <v>2</v>
      </c>
      <c r="B10" s="2"/>
      <c r="C10" s="2" t="s">
        <v>4</v>
      </c>
      <c r="D10" s="16"/>
      <c r="E10" s="16"/>
      <c r="F10" s="17"/>
      <c r="G10" s="17"/>
      <c r="H10" s="18"/>
      <c r="I10" s="3">
        <f>HLOOKUP($C10,'Параметры ПФ'!$F$3:$K$8,6,FALSE)*'Параметры ПФ'!$G$22</f>
        <v>68.08</v>
      </c>
      <c r="J10" s="3">
        <f t="shared" si="1"/>
        <v>0</v>
      </c>
      <c r="K10" s="4">
        <f>IF(J10&lt;'Параметры ПФ'!$N$7+0.01,'Очно-заочные программы'!J10,ROUNDDOWN('Параметры ПФ'!$N$7/IF(H10=0,I10,IF(I10&gt;H10,H10,I10)),0)*IF(H10=0,I10,IF(I10&gt;H10,H10,I10)))</f>
        <v>0</v>
      </c>
      <c r="L10" s="3">
        <f t="shared" si="0"/>
        <v>0</v>
      </c>
      <c r="M10" s="26">
        <f>IF(J10&lt;'Параметры ПФ'!$N$7+0.01,E10*F10*G10,ROUNDDOWN('Параметры ПФ'!$N$7/IF(H10=0,I10,IF(I10&gt;H10,H10,I10)),0)*G10)</f>
        <v>0</v>
      </c>
      <c r="N10" s="20">
        <f t="shared" si="2"/>
        <v>0</v>
      </c>
    </row>
    <row r="11" spans="1:14" x14ac:dyDescent="0.25">
      <c r="A11" s="2" t="s">
        <v>2</v>
      </c>
      <c r="B11" s="2"/>
      <c r="C11" s="2" t="s">
        <v>4</v>
      </c>
      <c r="D11" s="16"/>
      <c r="E11" s="16"/>
      <c r="F11" s="17"/>
      <c r="G11" s="17"/>
      <c r="H11" s="18"/>
      <c r="I11" s="3">
        <f>HLOOKUP($C11,'Параметры ПФ'!$F$3:$K$8,6,FALSE)*'Параметры ПФ'!$G$22</f>
        <v>68.08</v>
      </c>
      <c r="J11" s="3">
        <f t="shared" si="1"/>
        <v>0</v>
      </c>
      <c r="K11" s="4">
        <f>IF(J11&lt;'Параметры ПФ'!$N$7+0.01,'Очно-заочные программы'!J11,ROUNDDOWN('Параметры ПФ'!$N$7/IF(H11=0,I11,IF(I11&gt;H11,H11,I11)),0)*IF(H11=0,I11,IF(I11&gt;H11,H11,I11)))</f>
        <v>0</v>
      </c>
      <c r="L11" s="3">
        <f t="shared" si="0"/>
        <v>0</v>
      </c>
      <c r="M11" s="26">
        <f>IF(J11&lt;'Параметры ПФ'!$N$7+0.01,E11*F11*G11,ROUNDDOWN('Параметры ПФ'!$N$7/IF(H11=0,I11,IF(I11&gt;H11,H11,I11)),0)*G11)</f>
        <v>0</v>
      </c>
      <c r="N11" s="20">
        <f t="shared" si="2"/>
        <v>0</v>
      </c>
    </row>
    <row r="12" spans="1:14" x14ac:dyDescent="0.25">
      <c r="A12" s="2" t="s">
        <v>2</v>
      </c>
      <c r="B12" s="2"/>
      <c r="C12" s="2" t="s">
        <v>4</v>
      </c>
      <c r="D12" s="16"/>
      <c r="E12" s="16"/>
      <c r="F12" s="17"/>
      <c r="G12" s="17"/>
      <c r="H12" s="18"/>
      <c r="I12" s="3">
        <f>HLOOKUP($C12,'Параметры ПФ'!$F$3:$K$8,6,FALSE)*'Параметры ПФ'!$G$22</f>
        <v>68.08</v>
      </c>
      <c r="J12" s="3">
        <f t="shared" si="1"/>
        <v>0</v>
      </c>
      <c r="K12" s="4">
        <f>IF(J12&lt;'Параметры ПФ'!$N$7+0.01,'Очно-заочные программы'!J12,ROUNDDOWN('Параметры ПФ'!$N$7/IF(H12=0,I12,IF(I12&gt;H12,H12,I12)),0)*IF(H12=0,I12,IF(I12&gt;H12,H12,I12)))</f>
        <v>0</v>
      </c>
      <c r="L12" s="3">
        <f t="shared" si="0"/>
        <v>0</v>
      </c>
      <c r="M12" s="26">
        <f>IF(J12&lt;'Параметры ПФ'!$N$7+0.01,E12*F12*G12,ROUNDDOWN('Параметры ПФ'!$N$7/IF(H12=0,I12,IF(I12&gt;H12,H12,I12)),0)*G12)</f>
        <v>0</v>
      </c>
      <c r="N12" s="20">
        <f t="shared" si="2"/>
        <v>0</v>
      </c>
    </row>
    <row r="13" spans="1:14" x14ac:dyDescent="0.25">
      <c r="A13" s="2" t="s">
        <v>2</v>
      </c>
      <c r="B13" s="2"/>
      <c r="C13" s="2" t="s">
        <v>4</v>
      </c>
      <c r="D13" s="16"/>
      <c r="E13" s="16"/>
      <c r="F13" s="17"/>
      <c r="G13" s="17"/>
      <c r="H13" s="18"/>
      <c r="I13" s="3">
        <f>HLOOKUP($C13,'Параметры ПФ'!$F$3:$K$8,6,FALSE)*'Параметры ПФ'!$G$22</f>
        <v>68.08</v>
      </c>
      <c r="J13" s="3">
        <f t="shared" si="1"/>
        <v>0</v>
      </c>
      <c r="K13" s="4">
        <f>IF(J13&lt;'Параметры ПФ'!$N$7+0.01,'Очно-заочные программы'!J13,ROUNDDOWN('Параметры ПФ'!$N$7/IF(H13=0,I13,IF(I13&gt;H13,H13,I13)),0)*IF(H13=0,I13,IF(I13&gt;H13,H13,I13)))</f>
        <v>0</v>
      </c>
      <c r="L13" s="3">
        <f t="shared" si="0"/>
        <v>0</v>
      </c>
      <c r="M13" s="26">
        <f>IF(J13&lt;'Параметры ПФ'!$N$7+0.01,E13*F13*G13,ROUNDDOWN('Параметры ПФ'!$N$7/IF(H13=0,I13,IF(I13&gt;H13,H13,I13)),0)*G13)</f>
        <v>0</v>
      </c>
      <c r="N13" s="20">
        <f t="shared" si="2"/>
        <v>0</v>
      </c>
    </row>
    <row r="14" spans="1:14" x14ac:dyDescent="0.25">
      <c r="A14" s="2" t="s">
        <v>2</v>
      </c>
      <c r="B14" s="2"/>
      <c r="C14" s="2" t="s">
        <v>4</v>
      </c>
      <c r="D14" s="16"/>
      <c r="E14" s="16"/>
      <c r="F14" s="17"/>
      <c r="G14" s="17"/>
      <c r="H14" s="18"/>
      <c r="I14" s="3">
        <f>HLOOKUP($C14,'Параметры ПФ'!$F$3:$K$8,6,FALSE)*'Параметры ПФ'!$G$22</f>
        <v>68.08</v>
      </c>
      <c r="J14" s="3">
        <f t="shared" si="1"/>
        <v>0</v>
      </c>
      <c r="K14" s="4">
        <f>IF(J14&lt;'Параметры ПФ'!$N$7+0.01,'Очно-заочные программы'!J14,ROUNDDOWN('Параметры ПФ'!$N$7/IF(H14=0,I14,IF(I14&gt;H14,H14,I14)),0)*IF(H14=0,I14,IF(I14&gt;H14,H14,I14)))</f>
        <v>0</v>
      </c>
      <c r="L14" s="3">
        <f t="shared" si="0"/>
        <v>0</v>
      </c>
      <c r="M14" s="26">
        <f>IF(J14&lt;'Параметры ПФ'!$N$7+0.01,E14*F14*G14,ROUNDDOWN('Параметры ПФ'!$N$7/IF(H14=0,I14,IF(I14&gt;H14,H14,I14)),0)*G14)</f>
        <v>0</v>
      </c>
      <c r="N14" s="20">
        <f t="shared" si="2"/>
        <v>0</v>
      </c>
    </row>
    <row r="15" spans="1:14" x14ac:dyDescent="0.25">
      <c r="A15" s="2" t="s">
        <v>2</v>
      </c>
      <c r="B15" s="2"/>
      <c r="C15" s="2" t="s">
        <v>4</v>
      </c>
      <c r="D15" s="16"/>
      <c r="E15" s="16"/>
      <c r="F15" s="17"/>
      <c r="G15" s="17"/>
      <c r="H15" s="18"/>
      <c r="I15" s="3">
        <f>HLOOKUP($C15,'Параметры ПФ'!$F$3:$K$8,6,FALSE)*'Параметры ПФ'!$G$22</f>
        <v>68.08</v>
      </c>
      <c r="J15" s="3">
        <f t="shared" si="1"/>
        <v>0</v>
      </c>
      <c r="K15" s="4">
        <f>IF(J15&lt;'Параметры ПФ'!$N$7+0.01,'Очно-заочные программы'!J15,ROUNDDOWN('Параметры ПФ'!$N$7/IF(H15=0,I15,IF(I15&gt;H15,H15,I15)),0)*IF(H15=0,I15,IF(I15&gt;H15,H15,I15)))</f>
        <v>0</v>
      </c>
      <c r="L15" s="3">
        <f t="shared" si="0"/>
        <v>0</v>
      </c>
      <c r="M15" s="26">
        <f>IF(J15&lt;'Параметры ПФ'!$N$7+0.01,E15*F15*G15,ROUNDDOWN('Параметры ПФ'!$N$7/IF(H15=0,I15,IF(I15&gt;H15,H15,I15)),0)*G15)</f>
        <v>0</v>
      </c>
      <c r="N15" s="20">
        <f t="shared" si="2"/>
        <v>0</v>
      </c>
    </row>
    <row r="16" spans="1:14" x14ac:dyDescent="0.25">
      <c r="A16" s="2" t="s">
        <v>2</v>
      </c>
      <c r="B16" s="2"/>
      <c r="C16" s="2" t="s">
        <v>4</v>
      </c>
      <c r="D16" s="16"/>
      <c r="E16" s="16"/>
      <c r="F16" s="17"/>
      <c r="G16" s="17"/>
      <c r="H16" s="18"/>
      <c r="I16" s="3">
        <f>HLOOKUP($C16,'Параметры ПФ'!$F$3:$K$8,6,FALSE)*'Параметры ПФ'!$G$22</f>
        <v>68.08</v>
      </c>
      <c r="J16" s="3">
        <f t="shared" si="1"/>
        <v>0</v>
      </c>
      <c r="K16" s="4">
        <f>IF(J16&lt;'Параметры ПФ'!$N$7+0.01,'Очно-заочные программы'!J16,ROUNDDOWN('Параметры ПФ'!$N$7/IF(H16=0,I16,IF(I16&gt;H16,H16,I16)),0)*IF(H16=0,I16,IF(I16&gt;H16,H16,I16)))</f>
        <v>0</v>
      </c>
      <c r="L16" s="3">
        <f t="shared" si="0"/>
        <v>0</v>
      </c>
      <c r="M16" s="26">
        <f>IF(J16&lt;'Параметры ПФ'!$N$7+0.01,E16*F16*G16,ROUNDDOWN('Параметры ПФ'!$N$7/IF(H16=0,I16,IF(I16&gt;H16,H16,I16)),0)*G16)</f>
        <v>0</v>
      </c>
      <c r="N16" s="20">
        <f t="shared" si="2"/>
        <v>0</v>
      </c>
    </row>
    <row r="17" spans="1:14" x14ac:dyDescent="0.25">
      <c r="A17" s="2" t="s">
        <v>2</v>
      </c>
      <c r="B17" s="2"/>
      <c r="C17" s="2" t="s">
        <v>4</v>
      </c>
      <c r="D17" s="16"/>
      <c r="E17" s="16"/>
      <c r="F17" s="17"/>
      <c r="G17" s="17"/>
      <c r="H17" s="18"/>
      <c r="I17" s="3">
        <f>HLOOKUP($C17,'Параметры ПФ'!$F$3:$K$8,6,FALSE)*'Параметры ПФ'!$G$22</f>
        <v>68.08</v>
      </c>
      <c r="J17" s="3">
        <f t="shared" si="1"/>
        <v>0</v>
      </c>
      <c r="K17" s="4">
        <f>IF(J17&lt;'Параметры ПФ'!$N$7+0.01,'Очно-заочные программы'!J17,ROUNDDOWN('Параметры ПФ'!$N$7/IF(H17=0,I17,IF(I17&gt;H17,H17,I17)),0)*IF(H17=0,I17,IF(I17&gt;H17,H17,I17)))</f>
        <v>0</v>
      </c>
      <c r="L17" s="3">
        <f t="shared" si="0"/>
        <v>0</v>
      </c>
      <c r="M17" s="26">
        <f>IF(J17&lt;'Параметры ПФ'!$N$7+0.01,E17*F17*G17,ROUNDDOWN('Параметры ПФ'!$N$7/IF(H17=0,I17,IF(I17&gt;H17,H17,I17)),0)*G17)</f>
        <v>0</v>
      </c>
      <c r="N17" s="20">
        <f t="shared" si="2"/>
        <v>0</v>
      </c>
    </row>
    <row r="18" spans="1:14" x14ac:dyDescent="0.25">
      <c r="A18" s="2" t="s">
        <v>2</v>
      </c>
      <c r="B18" s="2"/>
      <c r="C18" s="2" t="s">
        <v>4</v>
      </c>
      <c r="D18" s="16"/>
      <c r="E18" s="16"/>
      <c r="F18" s="17"/>
      <c r="G18" s="17"/>
      <c r="H18" s="18"/>
      <c r="I18" s="3">
        <f>HLOOKUP($C18,'Параметры ПФ'!$F$3:$K$8,6,FALSE)*'Параметры ПФ'!$G$22</f>
        <v>68.08</v>
      </c>
      <c r="J18" s="3">
        <f t="shared" si="1"/>
        <v>0</v>
      </c>
      <c r="K18" s="4">
        <f>IF(J18&lt;'Параметры ПФ'!$N$7+0.01,'Очно-заочные программы'!J18,ROUNDDOWN('Параметры ПФ'!$N$7/IF(H18=0,I18,IF(I18&gt;H18,H18,I18)),0)*IF(H18=0,I18,IF(I18&gt;H18,H18,I18)))</f>
        <v>0</v>
      </c>
      <c r="L18" s="3">
        <f t="shared" si="0"/>
        <v>0</v>
      </c>
      <c r="M18" s="26">
        <f>IF(J18&lt;'Параметры ПФ'!$N$7+0.01,E18*F18*G18,ROUNDDOWN('Параметры ПФ'!$N$7/IF(H18=0,I18,IF(I18&gt;H18,H18,I18)),0)*G18)</f>
        <v>0</v>
      </c>
      <c r="N18" s="20">
        <f t="shared" si="2"/>
        <v>0</v>
      </c>
    </row>
    <row r="19" spans="1:14" x14ac:dyDescent="0.25">
      <c r="A19" s="2" t="s">
        <v>2</v>
      </c>
      <c r="B19" s="2"/>
      <c r="C19" s="2" t="s">
        <v>4</v>
      </c>
      <c r="D19" s="16"/>
      <c r="E19" s="16"/>
      <c r="F19" s="17"/>
      <c r="G19" s="17"/>
      <c r="H19" s="18"/>
      <c r="I19" s="3">
        <f>HLOOKUP($C19,'Параметры ПФ'!$F$3:$K$8,6,FALSE)*'Параметры ПФ'!$G$22</f>
        <v>68.08</v>
      </c>
      <c r="J19" s="3">
        <f t="shared" si="1"/>
        <v>0</v>
      </c>
      <c r="K19" s="4">
        <f>IF(J19&lt;'Параметры ПФ'!$N$7+0.01,'Очно-заочные программы'!J19,ROUNDDOWN('Параметры ПФ'!$N$7/IF(H19=0,I19,IF(I19&gt;H19,H19,I19)),0)*IF(H19=0,I19,IF(I19&gt;H19,H19,I19)))</f>
        <v>0</v>
      </c>
      <c r="L19" s="3">
        <f t="shared" si="0"/>
        <v>0</v>
      </c>
      <c r="M19" s="26">
        <f>IF(J19&lt;'Параметры ПФ'!$N$7+0.01,E19*F19*G19,ROUNDDOWN('Параметры ПФ'!$N$7/IF(H19=0,I19,IF(I19&gt;H19,H19,I19)),0)*G19)</f>
        <v>0</v>
      </c>
      <c r="N19" s="20">
        <f t="shared" si="2"/>
        <v>0</v>
      </c>
    </row>
    <row r="20" spans="1:14" x14ac:dyDescent="0.25">
      <c r="A20" s="2" t="s">
        <v>2</v>
      </c>
      <c r="B20" s="2"/>
      <c r="C20" s="2" t="s">
        <v>4</v>
      </c>
      <c r="D20" s="16"/>
      <c r="E20" s="16"/>
      <c r="F20" s="17"/>
      <c r="G20" s="17"/>
      <c r="H20" s="18"/>
      <c r="I20" s="3">
        <f>HLOOKUP($C20,'Параметры ПФ'!$F$3:$K$8,6,FALSE)*'Параметры ПФ'!$G$22</f>
        <v>68.08</v>
      </c>
      <c r="J20" s="3">
        <f t="shared" si="1"/>
        <v>0</v>
      </c>
      <c r="K20" s="4">
        <f>IF(J20&lt;'Параметры ПФ'!$N$7+0.01,'Очно-заочные программы'!J20,ROUNDDOWN('Параметры ПФ'!$N$7/IF(H20=0,I20,IF(I20&gt;H20,H20,I20)),0)*IF(H20=0,I20,IF(I20&gt;H20,H20,I20)))</f>
        <v>0</v>
      </c>
      <c r="L20" s="3">
        <f t="shared" si="0"/>
        <v>0</v>
      </c>
      <c r="M20" s="26">
        <f>IF(J20&lt;'Параметры ПФ'!$N$7+0.01,E20*F20*G20,ROUNDDOWN('Параметры ПФ'!$N$7/IF(H20=0,I20,IF(I20&gt;H20,H20,I20)),0)*G20)</f>
        <v>0</v>
      </c>
      <c r="N20" s="20">
        <f t="shared" si="2"/>
        <v>0</v>
      </c>
    </row>
    <row r="21" spans="1:14" x14ac:dyDescent="0.25">
      <c r="A21" s="2" t="s">
        <v>2</v>
      </c>
      <c r="B21" s="2"/>
      <c r="C21" s="2" t="s">
        <v>4</v>
      </c>
      <c r="D21" s="16"/>
      <c r="E21" s="16"/>
      <c r="F21" s="17"/>
      <c r="G21" s="17"/>
      <c r="H21" s="18"/>
      <c r="I21" s="3">
        <f>HLOOKUP($C21,'Параметры ПФ'!$F$3:$K$8,6,FALSE)*'Параметры ПФ'!$G$22</f>
        <v>68.08</v>
      </c>
      <c r="J21" s="3">
        <f t="shared" si="1"/>
        <v>0</v>
      </c>
      <c r="K21" s="4">
        <f>IF(J21&lt;'Параметры ПФ'!$N$7+0.01,'Очно-заочные программы'!J21,ROUNDDOWN('Параметры ПФ'!$N$7/IF(H21=0,I21,IF(I21&gt;H21,H21,I21)),0)*IF(H21=0,I21,IF(I21&gt;H21,H21,I21)))</f>
        <v>0</v>
      </c>
      <c r="L21" s="3">
        <f t="shared" si="0"/>
        <v>0</v>
      </c>
      <c r="M21" s="26">
        <f>IF(J21&lt;'Параметры ПФ'!$N$7+0.01,E21*F21*G21,ROUNDDOWN('Параметры ПФ'!$N$7/IF(H21=0,I21,IF(I21&gt;H21,H21,I21)),0)*G21)</f>
        <v>0</v>
      </c>
      <c r="N21" s="20">
        <f t="shared" si="2"/>
        <v>0</v>
      </c>
    </row>
    <row r="22" spans="1:14" x14ac:dyDescent="0.25">
      <c r="A22" s="2" t="s">
        <v>2</v>
      </c>
      <c r="B22" s="2"/>
      <c r="C22" s="2" t="s">
        <v>4</v>
      </c>
      <c r="D22" s="16"/>
      <c r="E22" s="16"/>
      <c r="F22" s="17"/>
      <c r="G22" s="17"/>
      <c r="H22" s="18"/>
      <c r="I22" s="3">
        <f>HLOOKUP($C22,'Параметры ПФ'!$F$3:$K$8,6,FALSE)*'Параметры ПФ'!$G$22</f>
        <v>68.08</v>
      </c>
      <c r="J22" s="3">
        <f t="shared" si="1"/>
        <v>0</v>
      </c>
      <c r="K22" s="4">
        <f>IF(J22&lt;'Параметры ПФ'!$N$7+0.01,'Очно-заочные программы'!J22,ROUNDDOWN('Параметры ПФ'!$N$7/IF(H22=0,I22,IF(I22&gt;H22,H22,I22)),0)*IF(H22=0,I22,IF(I22&gt;H22,H22,I22)))</f>
        <v>0</v>
      </c>
      <c r="L22" s="3">
        <f t="shared" si="0"/>
        <v>0</v>
      </c>
      <c r="M22" s="26">
        <f>IF(J22&lt;'Параметры ПФ'!$N$7+0.01,E22*F22*G22,ROUNDDOWN('Параметры ПФ'!$N$7/IF(H22=0,I22,IF(I22&gt;H22,H22,I22)),0)*G22)</f>
        <v>0</v>
      </c>
      <c r="N22" s="20">
        <f t="shared" si="2"/>
        <v>0</v>
      </c>
    </row>
    <row r="23" spans="1:14" x14ac:dyDescent="0.25">
      <c r="A23" s="2" t="s">
        <v>2</v>
      </c>
      <c r="B23" s="2"/>
      <c r="C23" s="2" t="s">
        <v>4</v>
      </c>
      <c r="D23" s="16"/>
      <c r="E23" s="16"/>
      <c r="F23" s="17"/>
      <c r="G23" s="17"/>
      <c r="H23" s="18"/>
      <c r="I23" s="3">
        <f>HLOOKUP($C23,'Параметры ПФ'!$F$3:$K$8,6,FALSE)*'Параметры ПФ'!$G$22</f>
        <v>68.08</v>
      </c>
      <c r="J23" s="3">
        <f t="shared" si="1"/>
        <v>0</v>
      </c>
      <c r="K23" s="4">
        <f>IF(J23&lt;'Параметры ПФ'!$N$7+0.01,'Очно-заочные программы'!J23,ROUNDDOWN('Параметры ПФ'!$N$7/IF(H23=0,I23,IF(I23&gt;H23,H23,I23)),0)*IF(H23=0,I23,IF(I23&gt;H23,H23,I23)))</f>
        <v>0</v>
      </c>
      <c r="L23" s="3">
        <f t="shared" si="0"/>
        <v>0</v>
      </c>
      <c r="M23" s="26">
        <f>IF(J23&lt;'Параметры ПФ'!$N$7+0.01,E23*F23*G23,ROUNDDOWN('Параметры ПФ'!$N$7/IF(H23=0,I23,IF(I23&gt;H23,H23,I23)),0)*G23)</f>
        <v>0</v>
      </c>
      <c r="N23" s="20">
        <f t="shared" si="2"/>
        <v>0</v>
      </c>
    </row>
    <row r="24" spans="1:14" x14ac:dyDescent="0.25">
      <c r="A24" s="2" t="s">
        <v>2</v>
      </c>
      <c r="B24" s="2"/>
      <c r="C24" s="2" t="s">
        <v>4</v>
      </c>
      <c r="D24" s="16"/>
      <c r="E24" s="16"/>
      <c r="F24" s="17"/>
      <c r="G24" s="17"/>
      <c r="H24" s="18"/>
      <c r="I24" s="3">
        <f>HLOOKUP($C24,'Параметры ПФ'!$F$3:$K$8,6,FALSE)*'Параметры ПФ'!$G$22</f>
        <v>68.08</v>
      </c>
      <c r="J24" s="3">
        <f t="shared" si="1"/>
        <v>0</v>
      </c>
      <c r="K24" s="4">
        <f>IF(J24&lt;'Параметры ПФ'!$N$7+0.01,'Очно-заочные программы'!J24,ROUNDDOWN('Параметры ПФ'!$N$7/IF(H24=0,I24,IF(I24&gt;H24,H24,I24)),0)*IF(H24=0,I24,IF(I24&gt;H24,H24,I24)))</f>
        <v>0</v>
      </c>
      <c r="L24" s="3">
        <f t="shared" si="0"/>
        <v>0</v>
      </c>
      <c r="M24" s="26">
        <f>IF(J24&lt;'Параметры ПФ'!$N$7+0.01,E24*F24*G24,ROUNDDOWN('Параметры ПФ'!$N$7/IF(H24=0,I24,IF(I24&gt;H24,H24,I24)),0)*G24)</f>
        <v>0</v>
      </c>
      <c r="N24" s="20">
        <f t="shared" si="2"/>
        <v>0</v>
      </c>
    </row>
    <row r="25" spans="1:14" x14ac:dyDescent="0.25">
      <c r="A25" s="2" t="s">
        <v>2</v>
      </c>
      <c r="B25" s="2"/>
      <c r="C25" s="2" t="s">
        <v>4</v>
      </c>
      <c r="D25" s="16"/>
      <c r="E25" s="16"/>
      <c r="F25" s="17"/>
      <c r="G25" s="17"/>
      <c r="H25" s="18"/>
      <c r="I25" s="3">
        <f>HLOOKUP($C25,'Параметры ПФ'!$F$3:$K$8,6,FALSE)*'Параметры ПФ'!$G$22</f>
        <v>68.08</v>
      </c>
      <c r="J25" s="3">
        <f t="shared" si="1"/>
        <v>0</v>
      </c>
      <c r="K25" s="4">
        <f>IF(J25&lt;'Параметры ПФ'!$N$7+0.01,'Очно-заочные программы'!J25,ROUNDDOWN('Параметры ПФ'!$N$7/IF(H25=0,I25,IF(I25&gt;H25,H25,I25)),0)*IF(H25=0,I25,IF(I25&gt;H25,H25,I25)))</f>
        <v>0</v>
      </c>
      <c r="L25" s="3">
        <f t="shared" si="0"/>
        <v>0</v>
      </c>
      <c r="M25" s="26">
        <f>IF(J25&lt;'Параметры ПФ'!$N$7+0.01,E25*F25*G25,ROUNDDOWN('Параметры ПФ'!$N$7/IF(H25=0,I25,IF(I25&gt;H25,H25,I25)),0)*G25)</f>
        <v>0</v>
      </c>
      <c r="N25" s="20">
        <f t="shared" si="2"/>
        <v>0</v>
      </c>
    </row>
    <row r="26" spans="1:14" x14ac:dyDescent="0.25">
      <c r="A26" s="2" t="s">
        <v>2</v>
      </c>
      <c r="B26" s="2"/>
      <c r="C26" s="2" t="s">
        <v>4</v>
      </c>
      <c r="D26" s="16"/>
      <c r="E26" s="16"/>
      <c r="F26" s="17"/>
      <c r="G26" s="17"/>
      <c r="H26" s="18"/>
      <c r="I26" s="3">
        <f>HLOOKUP($C26,'Параметры ПФ'!$F$3:$K$8,6,FALSE)*'Параметры ПФ'!$G$22</f>
        <v>68.08</v>
      </c>
      <c r="J26" s="3">
        <f t="shared" si="1"/>
        <v>0</v>
      </c>
      <c r="K26" s="4">
        <f>IF(J26&lt;'Параметры ПФ'!$N$7+0.01,'Очно-заочные программы'!J26,ROUNDDOWN('Параметры ПФ'!$N$7/IF(H26=0,I26,IF(I26&gt;H26,H26,I26)),0)*IF(H26=0,I26,IF(I26&gt;H26,H26,I26)))</f>
        <v>0</v>
      </c>
      <c r="L26" s="3">
        <f t="shared" si="0"/>
        <v>0</v>
      </c>
      <c r="M26" s="26">
        <f>IF(J26&lt;'Параметры ПФ'!$N$7+0.01,E26*F26*G26,ROUNDDOWN('Параметры ПФ'!$N$7/IF(H26=0,I26,IF(I26&gt;H26,H26,I26)),0)*G26)</f>
        <v>0</v>
      </c>
      <c r="N26" s="20">
        <f t="shared" si="2"/>
        <v>0</v>
      </c>
    </row>
    <row r="27" spans="1:14" x14ac:dyDescent="0.25">
      <c r="A27" s="2" t="s">
        <v>2</v>
      </c>
      <c r="B27" s="2"/>
      <c r="C27" s="2" t="s">
        <v>4</v>
      </c>
      <c r="D27" s="16"/>
      <c r="E27" s="16"/>
      <c r="F27" s="17"/>
      <c r="G27" s="17"/>
      <c r="H27" s="18"/>
      <c r="I27" s="3">
        <f>HLOOKUP($C27,'Параметры ПФ'!$F$3:$K$8,6,FALSE)*'Параметры ПФ'!$G$22</f>
        <v>68.08</v>
      </c>
      <c r="J27" s="3">
        <f t="shared" si="1"/>
        <v>0</v>
      </c>
      <c r="K27" s="4">
        <f>IF(J27&lt;'Параметры ПФ'!$N$7+0.01,'Очно-заочные программы'!J27,ROUNDDOWN('Параметры ПФ'!$N$7/IF(H27=0,I27,IF(I27&gt;H27,H27,I27)),0)*IF(H27=0,I27,IF(I27&gt;H27,H27,I27)))</f>
        <v>0</v>
      </c>
      <c r="L27" s="3">
        <f t="shared" si="0"/>
        <v>0</v>
      </c>
      <c r="M27" s="26">
        <f>IF(J27&lt;'Параметры ПФ'!$N$7+0.01,E27*F27*G27,ROUNDDOWN('Параметры ПФ'!$N$7/IF(H27=0,I27,IF(I27&gt;H27,H27,I27)),0)*G27)</f>
        <v>0</v>
      </c>
      <c r="N27" s="20">
        <f t="shared" si="2"/>
        <v>0</v>
      </c>
    </row>
    <row r="28" spans="1:14" x14ac:dyDescent="0.25">
      <c r="A28" s="2" t="s">
        <v>2</v>
      </c>
      <c r="B28" s="2"/>
      <c r="C28" s="2" t="s">
        <v>4</v>
      </c>
      <c r="D28" s="16"/>
      <c r="E28" s="16"/>
      <c r="F28" s="17"/>
      <c r="G28" s="17"/>
      <c r="H28" s="18"/>
      <c r="I28" s="3">
        <f>HLOOKUP($C28,'Параметры ПФ'!$F$3:$K$8,6,FALSE)*'Параметры ПФ'!$G$22</f>
        <v>68.08</v>
      </c>
      <c r="J28" s="3">
        <f t="shared" si="1"/>
        <v>0</v>
      </c>
      <c r="K28" s="4">
        <f>IF(J28&lt;'Параметры ПФ'!$N$7+0.01,'Очно-заочные программы'!J28,ROUNDDOWN('Параметры ПФ'!$N$7/IF(H28=0,I28,IF(I28&gt;H28,H28,I28)),0)*IF(H28=0,I28,IF(I28&gt;H28,H28,I28)))</f>
        <v>0</v>
      </c>
      <c r="L28" s="3">
        <f t="shared" si="0"/>
        <v>0</v>
      </c>
      <c r="M28" s="26">
        <f>IF(J28&lt;'Параметры ПФ'!$N$7+0.01,E28*F28*G28,ROUNDDOWN('Параметры ПФ'!$N$7/IF(H28=0,I28,IF(I28&gt;H28,H28,I28)),0)*G28)</f>
        <v>0</v>
      </c>
      <c r="N28" s="20">
        <f t="shared" si="2"/>
        <v>0</v>
      </c>
    </row>
    <row r="29" spans="1:14" x14ac:dyDescent="0.25">
      <c r="A29" s="2" t="s">
        <v>2</v>
      </c>
      <c r="B29" s="2"/>
      <c r="C29" s="2" t="s">
        <v>4</v>
      </c>
      <c r="D29" s="16"/>
      <c r="E29" s="16"/>
      <c r="F29" s="17"/>
      <c r="G29" s="17"/>
      <c r="H29" s="18"/>
      <c r="I29" s="3">
        <f>HLOOKUP($C29,'Параметры ПФ'!$F$3:$K$8,6,FALSE)*'Параметры ПФ'!$G$22</f>
        <v>68.08</v>
      </c>
      <c r="J29" s="3">
        <f t="shared" si="1"/>
        <v>0</v>
      </c>
      <c r="K29" s="4">
        <f>IF(J29&lt;'Параметры ПФ'!$N$7+0.01,'Очно-заочные программы'!J29,ROUNDDOWN('Параметры ПФ'!$N$7/IF(H29=0,I29,IF(I29&gt;H29,H29,I29)),0)*IF(H29=0,I29,IF(I29&gt;H29,H29,I29)))</f>
        <v>0</v>
      </c>
      <c r="L29" s="3">
        <f t="shared" si="0"/>
        <v>0</v>
      </c>
      <c r="M29" s="26">
        <f>IF(J29&lt;'Параметры ПФ'!$N$7+0.01,E29*F29*G29,ROUNDDOWN('Параметры ПФ'!$N$7/IF(H29=0,I29,IF(I29&gt;H29,H29,I29)),0)*G29)</f>
        <v>0</v>
      </c>
      <c r="N29" s="20">
        <f t="shared" si="2"/>
        <v>0</v>
      </c>
    </row>
    <row r="30" spans="1:14" x14ac:dyDescent="0.25">
      <c r="A30" s="2" t="s">
        <v>2</v>
      </c>
      <c r="B30" s="2"/>
      <c r="C30" s="2" t="s">
        <v>4</v>
      </c>
      <c r="D30" s="16"/>
      <c r="E30" s="16"/>
      <c r="F30" s="17"/>
      <c r="G30" s="17"/>
      <c r="H30" s="18"/>
      <c r="I30" s="3">
        <f>HLOOKUP($C30,'Параметры ПФ'!$F$3:$K$8,6,FALSE)*'Параметры ПФ'!$G$22</f>
        <v>68.08</v>
      </c>
      <c r="J30" s="3">
        <f t="shared" si="1"/>
        <v>0</v>
      </c>
      <c r="K30" s="4">
        <f>IF(J30&lt;'Параметры ПФ'!$N$7+0.01,'Очно-заочные программы'!J30,ROUNDDOWN('Параметры ПФ'!$N$7/IF(H30=0,I30,IF(I30&gt;H30,H30,I30)),0)*IF(H30=0,I30,IF(I30&gt;H30,H30,I30)))</f>
        <v>0</v>
      </c>
      <c r="L30" s="3">
        <f t="shared" si="0"/>
        <v>0</v>
      </c>
      <c r="M30" s="26">
        <f>IF(J30&lt;'Параметры ПФ'!$N$7+0.01,E30*F30*G30,ROUNDDOWN('Параметры ПФ'!$N$7/IF(H30=0,I30,IF(I30&gt;H30,H30,I30)),0)*G30)</f>
        <v>0</v>
      </c>
      <c r="N30" s="20">
        <f t="shared" si="2"/>
        <v>0</v>
      </c>
    </row>
    <row r="31" spans="1:14" x14ac:dyDescent="0.25">
      <c r="A31" s="2" t="s">
        <v>2</v>
      </c>
      <c r="B31" s="2"/>
      <c r="C31" s="2" t="s">
        <v>4</v>
      </c>
      <c r="D31" s="16"/>
      <c r="E31" s="16"/>
      <c r="F31" s="17"/>
      <c r="G31" s="17"/>
      <c r="H31" s="18"/>
      <c r="I31" s="3">
        <f>HLOOKUP($C31,'Параметры ПФ'!$F$3:$K$8,6,FALSE)*'Параметры ПФ'!$G$22</f>
        <v>68.08</v>
      </c>
      <c r="J31" s="3">
        <f t="shared" si="1"/>
        <v>0</v>
      </c>
      <c r="K31" s="4">
        <f>IF(J31&lt;'Параметры ПФ'!$N$7+0.01,'Очно-заочные программы'!J31,ROUNDDOWN('Параметры ПФ'!$N$7/IF(H31=0,I31,IF(I31&gt;H31,H31,I31)),0)*IF(H31=0,I31,IF(I31&gt;H31,H31,I31)))</f>
        <v>0</v>
      </c>
      <c r="L31" s="3">
        <f t="shared" si="0"/>
        <v>0</v>
      </c>
      <c r="M31" s="26">
        <f>IF(J31&lt;'Параметры ПФ'!$N$7+0.01,E31*F31*G31,ROUNDDOWN('Параметры ПФ'!$N$7/IF(H31=0,I31,IF(I31&gt;H31,H31,I31)),0)*G31)</f>
        <v>0</v>
      </c>
      <c r="N31" s="20">
        <f t="shared" si="2"/>
        <v>0</v>
      </c>
    </row>
    <row r="32" spans="1:14" x14ac:dyDescent="0.25">
      <c r="A32" s="2" t="s">
        <v>2</v>
      </c>
      <c r="B32" s="2"/>
      <c r="C32" s="2" t="s">
        <v>4</v>
      </c>
      <c r="D32" s="16"/>
      <c r="E32" s="16"/>
      <c r="F32" s="17"/>
      <c r="G32" s="17"/>
      <c r="H32" s="18"/>
      <c r="I32" s="3">
        <f>HLOOKUP($C32,'Параметры ПФ'!$F$3:$K$8,6,FALSE)*'Параметры ПФ'!$G$22</f>
        <v>68.08</v>
      </c>
      <c r="J32" s="3">
        <f t="shared" si="1"/>
        <v>0</v>
      </c>
      <c r="K32" s="4">
        <f>IF(J32&lt;'Параметры ПФ'!$N$7+0.01,'Очно-заочные программы'!J32,ROUNDDOWN('Параметры ПФ'!$N$7/IF(H32=0,I32,IF(I32&gt;H32,H32,I32)),0)*IF(H32=0,I32,IF(I32&gt;H32,H32,I32)))</f>
        <v>0</v>
      </c>
      <c r="L32" s="3">
        <f t="shared" si="0"/>
        <v>0</v>
      </c>
      <c r="M32" s="26">
        <f>IF(J32&lt;'Параметры ПФ'!$N$7+0.01,E32*F32*G32,ROUNDDOWN('Параметры ПФ'!$N$7/IF(H32=0,I32,IF(I32&gt;H32,H32,I32)),0)*G32)</f>
        <v>0</v>
      </c>
      <c r="N32" s="20">
        <f t="shared" si="2"/>
        <v>0</v>
      </c>
    </row>
    <row r="33" spans="1:14" x14ac:dyDescent="0.25">
      <c r="A33" s="2" t="s">
        <v>2</v>
      </c>
      <c r="B33" s="2"/>
      <c r="C33" s="2" t="s">
        <v>4</v>
      </c>
      <c r="D33" s="16"/>
      <c r="E33" s="16"/>
      <c r="F33" s="17"/>
      <c r="G33" s="17"/>
      <c r="H33" s="18"/>
      <c r="I33" s="3">
        <f>HLOOKUP($C33,'Параметры ПФ'!$F$3:$K$8,6,FALSE)*'Параметры ПФ'!$G$22</f>
        <v>68.08</v>
      </c>
      <c r="J33" s="3">
        <f t="shared" si="1"/>
        <v>0</v>
      </c>
      <c r="K33" s="4">
        <f>IF(J33&lt;'Параметры ПФ'!$N$7+0.01,'Очно-заочные программы'!J33,ROUNDDOWN('Параметры ПФ'!$N$7/IF(H33=0,I33,IF(I33&gt;H33,H33,I33)),0)*IF(H33=0,I33,IF(I33&gt;H33,H33,I33)))</f>
        <v>0</v>
      </c>
      <c r="L33" s="3">
        <f t="shared" si="0"/>
        <v>0</v>
      </c>
      <c r="M33" s="26">
        <f>IF(J33&lt;'Параметры ПФ'!$N$7+0.01,E33*F33*G33,ROUNDDOWN('Параметры ПФ'!$N$7/IF(H33=0,I33,IF(I33&gt;H33,H33,I33)),0)*G33)</f>
        <v>0</v>
      </c>
      <c r="N33" s="20">
        <f t="shared" si="2"/>
        <v>0</v>
      </c>
    </row>
    <row r="34" spans="1:14" x14ac:dyDescent="0.25">
      <c r="A34" s="2" t="s">
        <v>2</v>
      </c>
      <c r="B34" s="2"/>
      <c r="C34" s="2" t="s">
        <v>4</v>
      </c>
      <c r="D34" s="16"/>
      <c r="E34" s="16"/>
      <c r="F34" s="17"/>
      <c r="G34" s="17"/>
      <c r="H34" s="18"/>
      <c r="I34" s="3">
        <f>HLOOKUP($C34,'Параметры ПФ'!$F$3:$K$8,6,FALSE)*'Параметры ПФ'!$G$22</f>
        <v>68.08</v>
      </c>
      <c r="J34" s="3">
        <f t="shared" si="1"/>
        <v>0</v>
      </c>
      <c r="K34" s="4">
        <f>IF(J34&lt;'Параметры ПФ'!$N$7+0.01,'Очно-заочные программы'!J34,ROUNDDOWN('Параметры ПФ'!$N$7/IF(H34=0,I34,IF(I34&gt;H34,H34,I34)),0)*IF(H34=0,I34,IF(I34&gt;H34,H34,I34)))</f>
        <v>0</v>
      </c>
      <c r="L34" s="3">
        <f t="shared" si="0"/>
        <v>0</v>
      </c>
      <c r="M34" s="26">
        <f>IF(J34&lt;'Параметры ПФ'!$N$7+0.01,E34*F34*G34,ROUNDDOWN('Параметры ПФ'!$N$7/IF(H34=0,I34,IF(I34&gt;H34,H34,I34)),0)*G34)</f>
        <v>0</v>
      </c>
      <c r="N34" s="20">
        <f t="shared" si="2"/>
        <v>0</v>
      </c>
    </row>
    <row r="35" spans="1:14" x14ac:dyDescent="0.25">
      <c r="A35" s="2" t="s">
        <v>2</v>
      </c>
      <c r="B35" s="2"/>
      <c r="C35" s="2" t="s">
        <v>4</v>
      </c>
      <c r="D35" s="16"/>
      <c r="E35" s="16"/>
      <c r="F35" s="17"/>
      <c r="G35" s="17"/>
      <c r="H35" s="18"/>
      <c r="I35" s="3">
        <f>HLOOKUP($C35,'Параметры ПФ'!$F$3:$K$8,6,FALSE)*'Параметры ПФ'!$G$22</f>
        <v>68.08</v>
      </c>
      <c r="J35" s="3">
        <f t="shared" si="1"/>
        <v>0</v>
      </c>
      <c r="K35" s="4">
        <f>IF(J35&lt;'Параметры ПФ'!$N$7+0.01,'Очно-заочные программы'!J35,ROUNDDOWN('Параметры ПФ'!$N$7/IF(H35=0,I35,IF(I35&gt;H35,H35,I35)),0)*IF(H35=0,I35,IF(I35&gt;H35,H35,I35)))</f>
        <v>0</v>
      </c>
      <c r="L35" s="3">
        <f t="shared" si="0"/>
        <v>0</v>
      </c>
      <c r="M35" s="26">
        <f>IF(J35&lt;'Параметры ПФ'!$N$7+0.01,E35*F35*G35,ROUNDDOWN('Параметры ПФ'!$N$7/IF(H35=0,I35,IF(I35&gt;H35,H35,I35)),0)*G35)</f>
        <v>0</v>
      </c>
      <c r="N35" s="20">
        <f t="shared" si="2"/>
        <v>0</v>
      </c>
    </row>
    <row r="36" spans="1:14" x14ac:dyDescent="0.25">
      <c r="A36" s="2" t="s">
        <v>2</v>
      </c>
      <c r="B36" s="2"/>
      <c r="C36" s="2" t="s">
        <v>4</v>
      </c>
      <c r="D36" s="16"/>
      <c r="E36" s="16"/>
      <c r="F36" s="17"/>
      <c r="G36" s="17"/>
      <c r="H36" s="18"/>
      <c r="I36" s="3">
        <f>HLOOKUP($C36,'Параметры ПФ'!$F$3:$K$8,6,FALSE)*'Параметры ПФ'!$G$22</f>
        <v>68.08</v>
      </c>
      <c r="J36" s="3">
        <f t="shared" si="1"/>
        <v>0</v>
      </c>
      <c r="K36" s="4">
        <f>IF(J36&lt;'Параметры ПФ'!$N$7+0.01,'Очно-заочные программы'!J36,ROUNDDOWN('Параметры ПФ'!$N$7/IF(H36=0,I36,IF(I36&gt;H36,H36,I36)),0)*IF(H36=0,I36,IF(I36&gt;H36,H36,I36)))</f>
        <v>0</v>
      </c>
      <c r="L36" s="3">
        <f t="shared" si="0"/>
        <v>0</v>
      </c>
      <c r="M36" s="26">
        <f>IF(J36&lt;'Параметры ПФ'!$N$7+0.01,E36*F36*G36,ROUNDDOWN('Параметры ПФ'!$N$7/IF(H36=0,I36,IF(I36&gt;H36,H36,I36)),0)*G36)</f>
        <v>0</v>
      </c>
      <c r="N36" s="20">
        <f t="shared" si="2"/>
        <v>0</v>
      </c>
    </row>
    <row r="37" spans="1:14" x14ac:dyDescent="0.25">
      <c r="A37" s="2" t="s">
        <v>2</v>
      </c>
      <c r="B37" s="2"/>
      <c r="C37" s="2" t="s">
        <v>4</v>
      </c>
      <c r="D37" s="16"/>
      <c r="E37" s="16"/>
      <c r="F37" s="17"/>
      <c r="G37" s="17"/>
      <c r="H37" s="18"/>
      <c r="I37" s="3">
        <f>HLOOKUP($C37,'Параметры ПФ'!$F$3:$K$8,6,FALSE)*'Параметры ПФ'!$G$22</f>
        <v>68.08</v>
      </c>
      <c r="J37" s="3">
        <f t="shared" si="1"/>
        <v>0</v>
      </c>
      <c r="K37" s="4">
        <f>IF(J37&lt;'Параметры ПФ'!$N$7+0.01,'Очно-заочные программы'!J37,ROUNDDOWN('Параметры ПФ'!$N$7/IF(H37=0,I37,IF(I37&gt;H37,H37,I37)),0)*IF(H37=0,I37,IF(I37&gt;H37,H37,I37)))</f>
        <v>0</v>
      </c>
      <c r="L37" s="3">
        <f t="shared" si="0"/>
        <v>0</v>
      </c>
      <c r="M37" s="26">
        <f>IF(J37&lt;'Параметры ПФ'!$N$7+0.01,E37*F37*G37,ROUNDDOWN('Параметры ПФ'!$N$7/IF(H37=0,I37,IF(I37&gt;H37,H37,I37)),0)*G37)</f>
        <v>0</v>
      </c>
      <c r="N37" s="20">
        <f t="shared" si="2"/>
        <v>0</v>
      </c>
    </row>
    <row r="38" spans="1:14" x14ac:dyDescent="0.25">
      <c r="A38" s="2" t="s">
        <v>2</v>
      </c>
      <c r="B38" s="2"/>
      <c r="C38" s="2" t="s">
        <v>4</v>
      </c>
      <c r="D38" s="16"/>
      <c r="E38" s="16"/>
      <c r="F38" s="17"/>
      <c r="G38" s="17"/>
      <c r="H38" s="18"/>
      <c r="I38" s="3">
        <f>HLOOKUP($C38,'Параметры ПФ'!$F$3:$K$8,6,FALSE)*'Параметры ПФ'!$G$22</f>
        <v>68.08</v>
      </c>
      <c r="J38" s="3">
        <f t="shared" si="1"/>
        <v>0</v>
      </c>
      <c r="K38" s="4">
        <f>IF(J38&lt;'Параметры ПФ'!$N$7+0.01,'Очно-заочные программы'!J38,ROUNDDOWN('Параметры ПФ'!$N$7/IF(H38=0,I38,IF(I38&gt;H38,H38,I38)),0)*IF(H38=0,I38,IF(I38&gt;H38,H38,I38)))</f>
        <v>0</v>
      </c>
      <c r="L38" s="3">
        <f t="shared" si="0"/>
        <v>0</v>
      </c>
      <c r="M38" s="26">
        <f>IF(J38&lt;'Параметры ПФ'!$N$7+0.01,E38*F38*G38,ROUNDDOWN('Параметры ПФ'!$N$7/IF(H38=0,I38,IF(I38&gt;H38,H38,I38)),0)*G38)</f>
        <v>0</v>
      </c>
      <c r="N38" s="20">
        <f t="shared" si="2"/>
        <v>0</v>
      </c>
    </row>
    <row r="39" spans="1:14" x14ac:dyDescent="0.25">
      <c r="A39" s="90"/>
      <c r="B39" s="90"/>
      <c r="C39" s="90"/>
      <c r="D39" s="90"/>
      <c r="E39" s="90"/>
      <c r="F39" s="90"/>
      <c r="G39" s="5">
        <f>SUM(G2:G38)</f>
        <v>0</v>
      </c>
      <c r="H39" s="6" t="s">
        <v>12</v>
      </c>
      <c r="I39" s="7" t="s">
        <v>12</v>
      </c>
      <c r="J39" s="6" t="s">
        <v>12</v>
      </c>
      <c r="K39" s="7" t="s">
        <v>12</v>
      </c>
      <c r="L39" s="24">
        <f>SUM(L2:L38)</f>
        <v>0</v>
      </c>
      <c r="M39" s="25">
        <f>SUM(M2:M38)</f>
        <v>0</v>
      </c>
      <c r="N39" s="21" t="s">
        <v>12</v>
      </c>
    </row>
  </sheetData>
  <autoFilter ref="A1:N39"/>
  <mergeCells count="1">
    <mergeCell ref="A39:F39"/>
  </mergeCells>
  <conditionalFormatting sqref="N2:N38">
    <cfRule type="cellIs" dxfId="1" priority="1" operator="greaterThan">
      <formula>#REF!</formula>
    </cfRule>
  </conditionalFormatting>
  <pageMargins left="0.70866141732283472" right="0.70866141732283472" top="0.74803149606299213" bottom="0.74803149606299213" header="0.31496062992125984" footer="0.31496062992125984"/>
  <pageSetup paperSize="9" scale="52" fitToHeight="0" orientation="landscape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'Параметры ПФ'!$F$3:$K$3</xm:f>
          </x14:formula1>
          <xm:sqref>C2:C38</xm:sqref>
        </x14:dataValidation>
        <x14:dataValidation type="list" errorStyle="warning" allowBlank="1" showInputMessage="1" showErrorMessage="1" errorTitle="Ошибка" error="Направленность не из списка!" promptTitle="Направленность" prompt="Выберите направленность из списка">
          <x14:formula1>
            <xm:f>'F:\Users\alexkostin\Library\Containers\com.microsoft.Excel\Data\Documents\F:\Навигаторы\РЕГИОНЫ\Москва\[19. Сходимость модели ПФ ДОД МО.xlsx]Справочники'!#REF!</xm:f>
          </x14:formula1>
          <xm:sqref>C40:E1048576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topLeftCell="C1" zoomScale="70" zoomScaleNormal="70" workbookViewId="0">
      <selection activeCell="H14" sqref="H14"/>
    </sheetView>
  </sheetViews>
  <sheetFormatPr defaultColWidth="11" defaultRowHeight="15.75" x14ac:dyDescent="0.25"/>
  <cols>
    <col min="1" max="1" width="25.375" style="9" customWidth="1"/>
    <col min="2" max="2" width="34.5" style="9" customWidth="1"/>
    <col min="3" max="3" width="24.125" style="9" customWidth="1"/>
    <col min="4" max="4" width="11.5" style="9" customWidth="1"/>
    <col min="5" max="5" width="15" style="9" customWidth="1"/>
    <col min="6" max="6" width="12.125" style="10" customWidth="1"/>
    <col min="7" max="7" width="11.5" style="10" customWidth="1"/>
    <col min="8" max="8" width="12.5" style="11" customWidth="1"/>
    <col min="9" max="9" width="11.125" style="8" customWidth="1"/>
    <col min="10" max="10" width="12" style="8" customWidth="1"/>
    <col min="11" max="11" width="15.625" customWidth="1"/>
    <col min="12" max="12" width="15.375" style="8" customWidth="1"/>
    <col min="13" max="13" width="16.25" style="8" customWidth="1"/>
    <col min="14" max="14" width="19" style="22" customWidth="1"/>
  </cols>
  <sheetData>
    <row r="1" spans="1:14" s="1" customFormat="1" ht="71.25" customHeight="1" x14ac:dyDescent="0.25">
      <c r="A1" s="12" t="s">
        <v>8</v>
      </c>
      <c r="B1" s="12" t="s">
        <v>9</v>
      </c>
      <c r="C1" s="12" t="s">
        <v>7</v>
      </c>
      <c r="D1" s="13" t="s">
        <v>6</v>
      </c>
      <c r="E1" s="13" t="s">
        <v>60</v>
      </c>
      <c r="F1" s="13" t="s">
        <v>13</v>
      </c>
      <c r="G1" s="13" t="s">
        <v>10</v>
      </c>
      <c r="H1" s="14" t="s">
        <v>14</v>
      </c>
      <c r="I1" s="15" t="s">
        <v>11</v>
      </c>
      <c r="J1" s="15" t="s">
        <v>61</v>
      </c>
      <c r="K1" s="23" t="s">
        <v>62</v>
      </c>
      <c r="L1" s="15" t="s">
        <v>15</v>
      </c>
      <c r="M1" s="15" t="s">
        <v>16</v>
      </c>
      <c r="N1" s="19" t="s">
        <v>63</v>
      </c>
    </row>
    <row r="2" spans="1:14" x14ac:dyDescent="0.25">
      <c r="A2" s="2" t="s">
        <v>1</v>
      </c>
      <c r="B2" s="2"/>
      <c r="C2" s="2" t="s">
        <v>3</v>
      </c>
      <c r="D2" s="16"/>
      <c r="E2" s="16"/>
      <c r="F2" s="17"/>
      <c r="G2" s="17"/>
      <c r="H2" s="18"/>
      <c r="I2" s="3">
        <f>HLOOKUP($C2,'Параметры ПФ'!$F$3:$K$8,6,FALSE)*'Параметры ПФ'!$G$19</f>
        <v>69.69</v>
      </c>
      <c r="J2" s="3">
        <f>IF(H2=0,I2*F2*E2,IF(I2&gt;H2,H2*F2*E2,I2*F2*E2))</f>
        <v>0</v>
      </c>
      <c r="K2" s="4">
        <f>IF(J2&lt;'Параметры ПФ'!$N$12+0.01,'Адаптированные программы'!J2,ROUNDDOWN('Параметры ПФ'!$N$12/IF(H2=0,I2,IF(I2&gt;H2,H2,I2)),0)*IF(H2=0,I2,IF(I2&gt;H2,H2,I2)))</f>
        <v>0</v>
      </c>
      <c r="L2" s="3">
        <f t="shared" ref="L2:L38" si="0">K2*G2</f>
        <v>0</v>
      </c>
      <c r="M2" s="26">
        <f>IF(J2&lt;'Параметры ПФ'!$N$12+0.01,E2*F2*G2,ROUNDDOWN('Параметры ПФ'!$N$12/IF(H2=0,I2,IF(I2&gt;H2,H2,I2)),0)*G2)</f>
        <v>0</v>
      </c>
      <c r="N2" s="20">
        <f>IF(H2=0,I2*F2*E2,IF(I2&gt;H2,H2*F2*E2,I2*F2*E2))-K2</f>
        <v>0</v>
      </c>
    </row>
    <row r="3" spans="1:14" x14ac:dyDescent="0.25">
      <c r="A3" s="2" t="s">
        <v>1</v>
      </c>
      <c r="B3" s="2"/>
      <c r="C3" s="2" t="s">
        <v>3</v>
      </c>
      <c r="D3" s="16"/>
      <c r="E3" s="16"/>
      <c r="F3" s="17"/>
      <c r="G3" s="17"/>
      <c r="H3" s="18"/>
      <c r="I3" s="3">
        <f>HLOOKUP($C3,'Параметры ПФ'!$F$3:$K$8,6,FALSE)*'Параметры ПФ'!$G$19</f>
        <v>69.69</v>
      </c>
      <c r="J3" s="3">
        <f>IF(H3=0,I3*F3*E3,IF(I3&gt;H3,H3*F3*E3,I3*F3*E3))</f>
        <v>0</v>
      </c>
      <c r="K3" s="4">
        <f>IF(J3&lt;'Параметры ПФ'!$N$12+0.01,'Адаптированные программы'!J3,ROUNDDOWN('Параметры ПФ'!$N$12/IF(H3=0,I3,IF(I3&gt;H3,H3,I3)),0)*IF(H3=0,I3,IF(I3&gt;H3,H3,I3)))</f>
        <v>0</v>
      </c>
      <c r="L3" s="3">
        <f t="shared" si="0"/>
        <v>0</v>
      </c>
      <c r="M3" s="26">
        <f>IF(J3&lt;'Параметры ПФ'!$N$12+0.01,E3*F3*G3,ROUNDDOWN('Параметры ПФ'!$N$12/IF(H3=0,I3,IF(I3&gt;H3,H3,I3)),0)*G3)</f>
        <v>0</v>
      </c>
      <c r="N3" s="20">
        <f>IF(H3=0,I3*F3*E3,IF(I3&gt;H3,H3*F3*E3,I3*F3*E3))-K3</f>
        <v>0</v>
      </c>
    </row>
    <row r="4" spans="1:14" x14ac:dyDescent="0.25">
      <c r="A4" s="2" t="s">
        <v>2</v>
      </c>
      <c r="B4" s="2"/>
      <c r="C4" s="2" t="s">
        <v>3</v>
      </c>
      <c r="D4" s="16"/>
      <c r="E4" s="16"/>
      <c r="F4" s="17"/>
      <c r="G4" s="17"/>
      <c r="H4" s="18"/>
      <c r="I4" s="3">
        <f>HLOOKUP($C4,'Параметры ПФ'!$F$3:$K$8,6,FALSE)*'Параметры ПФ'!$G$19</f>
        <v>69.69</v>
      </c>
      <c r="J4" s="3">
        <f>IF(H4=0,I4*F4*E4,IF(I4&gt;H4,H4*F4*E4,I4*F4*E4))</f>
        <v>0</v>
      </c>
      <c r="K4" s="4">
        <f>IF(J4&lt;'Параметры ПФ'!$N$12+0.01,'Адаптированные программы'!J4,ROUNDDOWN('Параметры ПФ'!$N$12/IF(H4=0,I4,IF(I4&gt;H4,H4,I4)),0)*IF(H4=0,I4,IF(I4&gt;H4,H4,I4)))</f>
        <v>0</v>
      </c>
      <c r="L4" s="3">
        <f t="shared" si="0"/>
        <v>0</v>
      </c>
      <c r="M4" s="26">
        <f>IF(J4&lt;'Параметры ПФ'!$N$12+0.01,E4*F4*G4,ROUNDDOWN('Параметры ПФ'!$N$12/IF(H4=0,I4,IF(I4&gt;H4,H4,I4)),0)*G4)</f>
        <v>0</v>
      </c>
      <c r="N4" s="20">
        <f>IF(H4=0,I4*F4*E4,IF(I4&gt;H4,H4*F4*E4,I4*F4*E4))-K4</f>
        <v>0</v>
      </c>
    </row>
    <row r="5" spans="1:14" x14ac:dyDescent="0.25">
      <c r="A5" s="2" t="s">
        <v>1</v>
      </c>
      <c r="B5" s="2"/>
      <c r="C5" s="2" t="s">
        <v>3</v>
      </c>
      <c r="D5" s="16"/>
      <c r="E5" s="16"/>
      <c r="F5" s="17"/>
      <c r="G5" s="17"/>
      <c r="H5" s="18"/>
      <c r="I5" s="3">
        <f>HLOOKUP($C5,'Параметры ПФ'!$F$3:$K$8,6,FALSE)*'Параметры ПФ'!$G$19</f>
        <v>69.69</v>
      </c>
      <c r="J5" s="3">
        <f t="shared" ref="J5:J38" si="1">IF(H5=0,I5*F5*E5,IF(I5&gt;H5,H5*F5*E5,I5*F5*E5))</f>
        <v>0</v>
      </c>
      <c r="K5" s="4">
        <f>IF(J5&lt;'Параметры ПФ'!$N$12+0.01,'Адаптированные программы'!J5,ROUNDDOWN('Параметры ПФ'!$N$12/IF(H5=0,I5,IF(I5&gt;H5,H5,I5)),0)*IF(H5=0,I5,IF(I5&gt;H5,H5,I5)))</f>
        <v>0</v>
      </c>
      <c r="L5" s="3">
        <f t="shared" si="0"/>
        <v>0</v>
      </c>
      <c r="M5" s="26">
        <f>IF(J5&lt;'Параметры ПФ'!$N$12+0.01,E5*F5*G5,ROUNDDOWN('Параметры ПФ'!$N$12/IF(H5=0,I5,IF(I5&gt;H5,H5,I5)),0)*G5)</f>
        <v>0</v>
      </c>
      <c r="N5" s="20">
        <f t="shared" ref="N5:N38" si="2">IF(H5=0,I5*F5*E5,IF(I5&gt;H5,H5*F5*E5,I5*F5*E5))-K5</f>
        <v>0</v>
      </c>
    </row>
    <row r="6" spans="1:14" x14ac:dyDescent="0.25">
      <c r="A6" s="2" t="s">
        <v>2</v>
      </c>
      <c r="B6" s="2"/>
      <c r="C6" s="2" t="s">
        <v>4</v>
      </c>
      <c r="D6" s="16"/>
      <c r="E6" s="16"/>
      <c r="F6" s="17"/>
      <c r="G6" s="17"/>
      <c r="H6" s="18"/>
      <c r="I6" s="3">
        <f>HLOOKUP($C6,'Параметры ПФ'!$F$3:$K$8,6,FALSE)*'Параметры ПФ'!$G$19</f>
        <v>68.08</v>
      </c>
      <c r="J6" s="3">
        <f t="shared" si="1"/>
        <v>0</v>
      </c>
      <c r="K6" s="4">
        <f>IF(J6&lt;'Параметры ПФ'!$N$12+0.01,'Адаптированные программы'!J6,ROUNDDOWN('Параметры ПФ'!$N$12/IF(H6=0,I6,IF(I6&gt;H6,H6,I6)),0)*IF(H6=0,I6,IF(I6&gt;H6,H6,I6)))</f>
        <v>0</v>
      </c>
      <c r="L6" s="3">
        <f t="shared" si="0"/>
        <v>0</v>
      </c>
      <c r="M6" s="26">
        <f>IF(J6&lt;'Параметры ПФ'!$N$12+0.01,E6*F6*G6,ROUNDDOWN('Параметры ПФ'!$N$12/IF(H6=0,I6,IF(I6&gt;H6,H6,I6)),0)*G6)</f>
        <v>0</v>
      </c>
      <c r="N6" s="20">
        <f t="shared" si="2"/>
        <v>0</v>
      </c>
    </row>
    <row r="7" spans="1:14" x14ac:dyDescent="0.25">
      <c r="A7" s="2" t="s">
        <v>2</v>
      </c>
      <c r="B7" s="2"/>
      <c r="C7" s="2" t="s">
        <v>4</v>
      </c>
      <c r="D7" s="16"/>
      <c r="E7" s="16"/>
      <c r="F7" s="17"/>
      <c r="G7" s="17"/>
      <c r="H7" s="18"/>
      <c r="I7" s="3">
        <f>HLOOKUP($C7,'Параметры ПФ'!$F$3:$K$8,6,FALSE)*'Параметры ПФ'!$G$19</f>
        <v>68.08</v>
      </c>
      <c r="J7" s="3">
        <f t="shared" si="1"/>
        <v>0</v>
      </c>
      <c r="K7" s="4">
        <f>IF(J7&lt;'Параметры ПФ'!$N$12+0.01,'Адаптированные программы'!J7,ROUNDDOWN('Параметры ПФ'!$N$12/IF(H7=0,I7,IF(I7&gt;H7,H7,I7)),0)*IF(H7=0,I7,IF(I7&gt;H7,H7,I7)))</f>
        <v>0</v>
      </c>
      <c r="L7" s="3">
        <f t="shared" si="0"/>
        <v>0</v>
      </c>
      <c r="M7" s="26">
        <f>IF(J7&lt;'Параметры ПФ'!$N$12+0.01,E7*F7*G7,ROUNDDOWN('Параметры ПФ'!$N$12/IF(H7=0,I7,IF(I7&gt;H7,H7,I7)),0)*G7)</f>
        <v>0</v>
      </c>
      <c r="N7" s="20">
        <f t="shared" si="2"/>
        <v>0</v>
      </c>
    </row>
    <row r="8" spans="1:14" x14ac:dyDescent="0.25">
      <c r="A8" s="2" t="s">
        <v>44</v>
      </c>
      <c r="B8" s="2"/>
      <c r="C8" s="2" t="s">
        <v>4</v>
      </c>
      <c r="D8" s="16"/>
      <c r="E8" s="16"/>
      <c r="F8" s="17"/>
      <c r="G8" s="17"/>
      <c r="H8" s="18"/>
      <c r="I8" s="3">
        <f>HLOOKUP($C8,'Параметры ПФ'!$F$3:$K$8,6,FALSE)*'Параметры ПФ'!$G$19</f>
        <v>68.08</v>
      </c>
      <c r="J8" s="3">
        <f t="shared" si="1"/>
        <v>0</v>
      </c>
      <c r="K8" s="4">
        <f>IF(J8&lt;'Параметры ПФ'!$N$12+0.01,'Адаптированные программы'!J8,ROUNDDOWN('Параметры ПФ'!$N$12/IF(H8=0,I8,IF(I8&gt;H8,H8,I8)),0)*IF(H8=0,I8,IF(I8&gt;H8,H8,I8)))</f>
        <v>0</v>
      </c>
      <c r="L8" s="3">
        <f t="shared" si="0"/>
        <v>0</v>
      </c>
      <c r="M8" s="26">
        <f>IF(J8&lt;'Параметры ПФ'!$N$12+0.01,E8*F8*G8,ROUNDDOWN('Параметры ПФ'!$N$12/IF(H8=0,I8,IF(I8&gt;H8,H8,I8)),0)*G8)</f>
        <v>0</v>
      </c>
      <c r="N8" s="20">
        <f t="shared" si="2"/>
        <v>0</v>
      </c>
    </row>
    <row r="9" spans="1:14" x14ac:dyDescent="0.25">
      <c r="A9" s="2" t="s">
        <v>2</v>
      </c>
      <c r="B9" s="2"/>
      <c r="C9" s="2" t="s">
        <v>4</v>
      </c>
      <c r="D9" s="16"/>
      <c r="E9" s="16"/>
      <c r="F9" s="17"/>
      <c r="G9" s="17"/>
      <c r="H9" s="18"/>
      <c r="I9" s="3">
        <f>HLOOKUP($C9,'Параметры ПФ'!$F$3:$K$8,6,FALSE)*'Параметры ПФ'!$G$19</f>
        <v>68.08</v>
      </c>
      <c r="J9" s="3">
        <f t="shared" si="1"/>
        <v>0</v>
      </c>
      <c r="K9" s="4">
        <f>IF(J9&lt;'Параметры ПФ'!$N$12+0.01,'Адаптированные программы'!J9,ROUNDDOWN('Параметры ПФ'!$N$12/IF(H9=0,I9,IF(I9&gt;H9,H9,I9)),0)*IF(H9=0,I9,IF(I9&gt;H9,H9,I9)))</f>
        <v>0</v>
      </c>
      <c r="L9" s="3">
        <f t="shared" si="0"/>
        <v>0</v>
      </c>
      <c r="M9" s="26">
        <f>IF(J9&lt;'Параметры ПФ'!$N$12+0.01,E9*F9*G9,ROUNDDOWN('Параметры ПФ'!$N$12/IF(H9=0,I9,IF(I9&gt;H9,H9,I9)),0)*G9)</f>
        <v>0</v>
      </c>
      <c r="N9" s="20">
        <f t="shared" si="2"/>
        <v>0</v>
      </c>
    </row>
    <row r="10" spans="1:14" x14ac:dyDescent="0.25">
      <c r="A10" s="2" t="s">
        <v>2</v>
      </c>
      <c r="B10" s="2"/>
      <c r="C10" s="2" t="s">
        <v>4</v>
      </c>
      <c r="D10" s="16"/>
      <c r="E10" s="16"/>
      <c r="F10" s="17"/>
      <c r="G10" s="17"/>
      <c r="H10" s="18"/>
      <c r="I10" s="3">
        <f>HLOOKUP($C10,'Параметры ПФ'!$F$3:$K$8,6,FALSE)*'Параметры ПФ'!$G$19</f>
        <v>68.08</v>
      </c>
      <c r="J10" s="3">
        <f t="shared" si="1"/>
        <v>0</v>
      </c>
      <c r="K10" s="4">
        <f>IF(J10&lt;'Параметры ПФ'!$N$12+0.01,'Адаптированные программы'!J10,ROUNDDOWN('Параметры ПФ'!$N$12/IF(H10=0,I10,IF(I10&gt;H10,H10,I10)),0)*IF(H10=0,I10,IF(I10&gt;H10,H10,I10)))</f>
        <v>0</v>
      </c>
      <c r="L10" s="3">
        <f t="shared" si="0"/>
        <v>0</v>
      </c>
      <c r="M10" s="26">
        <f>IF(J10&lt;'Параметры ПФ'!$N$12+0.01,E10*F10*G10,ROUNDDOWN('Параметры ПФ'!$N$12/IF(H10=0,I10,IF(I10&gt;H10,H10,I10)),0)*G10)</f>
        <v>0</v>
      </c>
      <c r="N10" s="20">
        <f t="shared" si="2"/>
        <v>0</v>
      </c>
    </row>
    <row r="11" spans="1:14" x14ac:dyDescent="0.25">
      <c r="A11" s="2" t="s">
        <v>2</v>
      </c>
      <c r="B11" s="2"/>
      <c r="C11" s="2" t="s">
        <v>4</v>
      </c>
      <c r="D11" s="16"/>
      <c r="E11" s="16"/>
      <c r="F11" s="17"/>
      <c r="G11" s="17"/>
      <c r="H11" s="18"/>
      <c r="I11" s="3">
        <f>HLOOKUP($C11,'Параметры ПФ'!$F$3:$K$8,6,FALSE)*'Параметры ПФ'!$G$19</f>
        <v>68.08</v>
      </c>
      <c r="J11" s="3">
        <f t="shared" si="1"/>
        <v>0</v>
      </c>
      <c r="K11" s="4">
        <f>IF(J11&lt;'Параметры ПФ'!$N$12+0.01,'Адаптированные программы'!J11,ROUNDDOWN('Параметры ПФ'!$N$12/IF(H11=0,I11,IF(I11&gt;H11,H11,I11)),0)*IF(H11=0,I11,IF(I11&gt;H11,H11,I11)))</f>
        <v>0</v>
      </c>
      <c r="L11" s="3">
        <f t="shared" si="0"/>
        <v>0</v>
      </c>
      <c r="M11" s="26">
        <f>IF(J11&lt;'Параметры ПФ'!$N$12+0.01,E11*F11*G11,ROUNDDOWN('Параметры ПФ'!$N$12/IF(H11=0,I11,IF(I11&gt;H11,H11,I11)),0)*G11)</f>
        <v>0</v>
      </c>
      <c r="N11" s="20">
        <f t="shared" si="2"/>
        <v>0</v>
      </c>
    </row>
    <row r="12" spans="1:14" x14ac:dyDescent="0.25">
      <c r="A12" s="2" t="s">
        <v>2</v>
      </c>
      <c r="B12" s="2"/>
      <c r="C12" s="2" t="s">
        <v>4</v>
      </c>
      <c r="D12" s="16"/>
      <c r="E12" s="16"/>
      <c r="F12" s="17"/>
      <c r="G12" s="17"/>
      <c r="H12" s="18"/>
      <c r="I12" s="3">
        <f>HLOOKUP($C12,'Параметры ПФ'!$F$3:$K$8,6,FALSE)*'Параметры ПФ'!$G$19</f>
        <v>68.08</v>
      </c>
      <c r="J12" s="3">
        <f t="shared" si="1"/>
        <v>0</v>
      </c>
      <c r="K12" s="4">
        <f>IF(J12&lt;'Параметры ПФ'!$N$12+0.01,'Адаптированные программы'!J12,ROUNDDOWN('Параметры ПФ'!$N$12/IF(H12=0,I12,IF(I12&gt;H12,H12,I12)),0)*IF(H12=0,I12,IF(I12&gt;H12,H12,I12)))</f>
        <v>0</v>
      </c>
      <c r="L12" s="3">
        <f t="shared" si="0"/>
        <v>0</v>
      </c>
      <c r="M12" s="26">
        <f>IF(J12&lt;'Параметры ПФ'!$N$12+0.01,E12*F12*G12,ROUNDDOWN('Параметры ПФ'!$N$12/IF(H12=0,I12,IF(I12&gt;H12,H12,I12)),0)*G12)</f>
        <v>0</v>
      </c>
      <c r="N12" s="20">
        <f t="shared" si="2"/>
        <v>0</v>
      </c>
    </row>
    <row r="13" spans="1:14" x14ac:dyDescent="0.25">
      <c r="A13" s="2" t="s">
        <v>2</v>
      </c>
      <c r="B13" s="2"/>
      <c r="C13" s="2" t="s">
        <v>4</v>
      </c>
      <c r="D13" s="16"/>
      <c r="E13" s="16"/>
      <c r="F13" s="17"/>
      <c r="G13" s="17"/>
      <c r="H13" s="18"/>
      <c r="I13" s="3">
        <f>HLOOKUP($C13,'Параметры ПФ'!$F$3:$K$8,6,FALSE)*'Параметры ПФ'!$G$19</f>
        <v>68.08</v>
      </c>
      <c r="J13" s="3">
        <f t="shared" si="1"/>
        <v>0</v>
      </c>
      <c r="K13" s="4">
        <f>IF(J13&lt;'Параметры ПФ'!$N$12+0.01,'Адаптированные программы'!J13,ROUNDDOWN('Параметры ПФ'!$N$12/IF(H13=0,I13,IF(I13&gt;H13,H13,I13)),0)*IF(H13=0,I13,IF(I13&gt;H13,H13,I13)))</f>
        <v>0</v>
      </c>
      <c r="L13" s="3">
        <f t="shared" si="0"/>
        <v>0</v>
      </c>
      <c r="M13" s="26">
        <f>IF(J13&lt;'Параметры ПФ'!$N$12+0.01,E13*F13*G13,ROUNDDOWN('Параметры ПФ'!$N$12/IF(H13=0,I13,IF(I13&gt;H13,H13,I13)),0)*G13)</f>
        <v>0</v>
      </c>
      <c r="N13" s="20">
        <f t="shared" si="2"/>
        <v>0</v>
      </c>
    </row>
    <row r="14" spans="1:14" x14ac:dyDescent="0.25">
      <c r="A14" s="2" t="s">
        <v>2</v>
      </c>
      <c r="B14" s="2"/>
      <c r="C14" s="2" t="s">
        <v>4</v>
      </c>
      <c r="D14" s="16"/>
      <c r="E14" s="16"/>
      <c r="F14" s="17"/>
      <c r="G14" s="17"/>
      <c r="H14" s="18"/>
      <c r="I14" s="3">
        <f>HLOOKUP($C14,'Параметры ПФ'!$F$3:$K$8,6,FALSE)*'Параметры ПФ'!$G$19</f>
        <v>68.08</v>
      </c>
      <c r="J14" s="3">
        <f t="shared" si="1"/>
        <v>0</v>
      </c>
      <c r="K14" s="4">
        <f>IF(J14&lt;'Параметры ПФ'!$N$12+0.01,'Адаптированные программы'!J14,ROUNDDOWN('Параметры ПФ'!$N$12/IF(H14=0,I14,IF(I14&gt;H14,H14,I14)),0)*IF(H14=0,I14,IF(I14&gt;H14,H14,I14)))</f>
        <v>0</v>
      </c>
      <c r="L14" s="3">
        <f t="shared" si="0"/>
        <v>0</v>
      </c>
      <c r="M14" s="26">
        <f>IF(J14&lt;'Параметры ПФ'!$N$12+0.01,E14*F14*G14,ROUNDDOWN('Параметры ПФ'!$N$12/IF(H14=0,I14,IF(I14&gt;H14,H14,I14)),0)*G14)</f>
        <v>0</v>
      </c>
      <c r="N14" s="20">
        <f t="shared" si="2"/>
        <v>0</v>
      </c>
    </row>
    <row r="15" spans="1:14" x14ac:dyDescent="0.25">
      <c r="A15" s="2" t="s">
        <v>2</v>
      </c>
      <c r="B15" s="2"/>
      <c r="C15" s="2" t="s">
        <v>4</v>
      </c>
      <c r="D15" s="16"/>
      <c r="E15" s="16"/>
      <c r="F15" s="17"/>
      <c r="G15" s="17"/>
      <c r="H15" s="18"/>
      <c r="I15" s="3">
        <f>HLOOKUP($C15,'Параметры ПФ'!$F$3:$K$8,6,FALSE)*'Параметры ПФ'!$G$19</f>
        <v>68.08</v>
      </c>
      <c r="J15" s="3">
        <f t="shared" si="1"/>
        <v>0</v>
      </c>
      <c r="K15" s="4">
        <f>IF(J15&lt;'Параметры ПФ'!$N$12+0.01,'Адаптированные программы'!J15,ROUNDDOWN('Параметры ПФ'!$N$12/IF(H15=0,I15,IF(I15&gt;H15,H15,I15)),0)*IF(H15=0,I15,IF(I15&gt;H15,H15,I15)))</f>
        <v>0</v>
      </c>
      <c r="L15" s="3">
        <f t="shared" si="0"/>
        <v>0</v>
      </c>
      <c r="M15" s="26">
        <f>IF(J15&lt;'Параметры ПФ'!$N$12+0.01,E15*F15*G15,ROUNDDOWN('Параметры ПФ'!$N$12/IF(H15=0,I15,IF(I15&gt;H15,H15,I15)),0)*G15)</f>
        <v>0</v>
      </c>
      <c r="N15" s="20">
        <f t="shared" si="2"/>
        <v>0</v>
      </c>
    </row>
    <row r="16" spans="1:14" x14ac:dyDescent="0.25">
      <c r="A16" s="2" t="s">
        <v>2</v>
      </c>
      <c r="B16" s="2"/>
      <c r="C16" s="2" t="s">
        <v>4</v>
      </c>
      <c r="D16" s="16"/>
      <c r="E16" s="16"/>
      <c r="F16" s="17"/>
      <c r="G16" s="17"/>
      <c r="H16" s="18"/>
      <c r="I16" s="3">
        <f>HLOOKUP($C16,'Параметры ПФ'!$F$3:$K$8,6,FALSE)*'Параметры ПФ'!$G$19</f>
        <v>68.08</v>
      </c>
      <c r="J16" s="3">
        <f t="shared" si="1"/>
        <v>0</v>
      </c>
      <c r="K16" s="4">
        <f>IF(J16&lt;'Параметры ПФ'!$N$12+0.01,'Адаптированные программы'!J16,ROUNDDOWN('Параметры ПФ'!$N$12/IF(H16=0,I16,IF(I16&gt;H16,H16,I16)),0)*IF(H16=0,I16,IF(I16&gt;H16,H16,I16)))</f>
        <v>0</v>
      </c>
      <c r="L16" s="3">
        <f t="shared" si="0"/>
        <v>0</v>
      </c>
      <c r="M16" s="26">
        <f>IF(J16&lt;'Параметры ПФ'!$N$12+0.01,E16*F16*G16,ROUNDDOWN('Параметры ПФ'!$N$12/IF(H16=0,I16,IF(I16&gt;H16,H16,I16)),0)*G16)</f>
        <v>0</v>
      </c>
      <c r="N16" s="20">
        <f t="shared" si="2"/>
        <v>0</v>
      </c>
    </row>
    <row r="17" spans="1:14" x14ac:dyDescent="0.25">
      <c r="A17" s="2" t="s">
        <v>2</v>
      </c>
      <c r="B17" s="2"/>
      <c r="C17" s="2" t="s">
        <v>4</v>
      </c>
      <c r="D17" s="16"/>
      <c r="E17" s="16"/>
      <c r="F17" s="17"/>
      <c r="G17" s="17"/>
      <c r="H17" s="18"/>
      <c r="I17" s="3">
        <f>HLOOKUP($C17,'Параметры ПФ'!$F$3:$K$8,6,FALSE)*'Параметры ПФ'!$G$19</f>
        <v>68.08</v>
      </c>
      <c r="J17" s="3">
        <f t="shared" si="1"/>
        <v>0</v>
      </c>
      <c r="K17" s="4">
        <f>IF(J17&lt;'Параметры ПФ'!$N$12+0.01,'Адаптированные программы'!J17,ROUNDDOWN('Параметры ПФ'!$N$12/IF(H17=0,I17,IF(I17&gt;H17,H17,I17)),0)*IF(H17=0,I17,IF(I17&gt;H17,H17,I17)))</f>
        <v>0</v>
      </c>
      <c r="L17" s="3">
        <f t="shared" si="0"/>
        <v>0</v>
      </c>
      <c r="M17" s="26">
        <f>IF(J17&lt;'Параметры ПФ'!$N$12+0.01,E17*F17*G17,ROUNDDOWN('Параметры ПФ'!$N$12/IF(H17=0,I17,IF(I17&gt;H17,H17,I17)),0)*G17)</f>
        <v>0</v>
      </c>
      <c r="N17" s="20">
        <f t="shared" si="2"/>
        <v>0</v>
      </c>
    </row>
    <row r="18" spans="1:14" x14ac:dyDescent="0.25">
      <c r="A18" s="2" t="s">
        <v>2</v>
      </c>
      <c r="B18" s="2"/>
      <c r="C18" s="2" t="s">
        <v>4</v>
      </c>
      <c r="D18" s="16"/>
      <c r="E18" s="16"/>
      <c r="F18" s="17"/>
      <c r="G18" s="17"/>
      <c r="H18" s="18"/>
      <c r="I18" s="3">
        <f>HLOOKUP($C18,'Параметры ПФ'!$F$3:$K$8,6,FALSE)*'Параметры ПФ'!$G$19</f>
        <v>68.08</v>
      </c>
      <c r="J18" s="3">
        <f t="shared" si="1"/>
        <v>0</v>
      </c>
      <c r="K18" s="4">
        <f>IF(J18&lt;'Параметры ПФ'!$N$12+0.01,'Адаптированные программы'!J18,ROUNDDOWN('Параметры ПФ'!$N$12/IF(H18=0,I18,IF(I18&gt;H18,H18,I18)),0)*IF(H18=0,I18,IF(I18&gt;H18,H18,I18)))</f>
        <v>0</v>
      </c>
      <c r="L18" s="3">
        <f t="shared" si="0"/>
        <v>0</v>
      </c>
      <c r="M18" s="26">
        <f>IF(J18&lt;'Параметры ПФ'!$N$12+0.01,E18*F18*G18,ROUNDDOWN('Параметры ПФ'!$N$12/IF(H18=0,I18,IF(I18&gt;H18,H18,I18)),0)*G18)</f>
        <v>0</v>
      </c>
      <c r="N18" s="20">
        <f t="shared" si="2"/>
        <v>0</v>
      </c>
    </row>
    <row r="19" spans="1:14" x14ac:dyDescent="0.25">
      <c r="A19" s="2" t="s">
        <v>2</v>
      </c>
      <c r="B19" s="2"/>
      <c r="C19" s="2" t="s">
        <v>4</v>
      </c>
      <c r="D19" s="16"/>
      <c r="E19" s="16"/>
      <c r="F19" s="17"/>
      <c r="G19" s="17"/>
      <c r="H19" s="18"/>
      <c r="I19" s="3">
        <f>HLOOKUP($C19,'Параметры ПФ'!$F$3:$K$8,6,FALSE)*'Параметры ПФ'!$G$19</f>
        <v>68.08</v>
      </c>
      <c r="J19" s="3">
        <f t="shared" si="1"/>
        <v>0</v>
      </c>
      <c r="K19" s="4">
        <f>IF(J19&lt;'Параметры ПФ'!$N$12+0.01,'Адаптированные программы'!J19,ROUNDDOWN('Параметры ПФ'!$N$12/IF(H19=0,I19,IF(I19&gt;H19,H19,I19)),0)*IF(H19=0,I19,IF(I19&gt;H19,H19,I19)))</f>
        <v>0</v>
      </c>
      <c r="L19" s="3">
        <f t="shared" si="0"/>
        <v>0</v>
      </c>
      <c r="M19" s="26">
        <f>IF(J19&lt;'Параметры ПФ'!$N$12+0.01,E19*F19*G19,ROUNDDOWN('Параметры ПФ'!$N$12/IF(H19=0,I19,IF(I19&gt;H19,H19,I19)),0)*G19)</f>
        <v>0</v>
      </c>
      <c r="N19" s="20">
        <f t="shared" si="2"/>
        <v>0</v>
      </c>
    </row>
    <row r="20" spans="1:14" x14ac:dyDescent="0.25">
      <c r="A20" s="2" t="s">
        <v>2</v>
      </c>
      <c r="B20" s="2"/>
      <c r="C20" s="2" t="s">
        <v>4</v>
      </c>
      <c r="D20" s="16"/>
      <c r="E20" s="16"/>
      <c r="F20" s="17"/>
      <c r="G20" s="17"/>
      <c r="H20" s="18"/>
      <c r="I20" s="3">
        <f>HLOOKUP($C20,'Параметры ПФ'!$F$3:$K$8,6,FALSE)*'Параметры ПФ'!$G$19</f>
        <v>68.08</v>
      </c>
      <c r="J20" s="3">
        <f t="shared" si="1"/>
        <v>0</v>
      </c>
      <c r="K20" s="4">
        <f>IF(J20&lt;'Параметры ПФ'!$N$12+0.01,'Адаптированные программы'!J20,ROUNDDOWN('Параметры ПФ'!$N$12/IF(H20=0,I20,IF(I20&gt;H20,H20,I20)),0)*IF(H20=0,I20,IF(I20&gt;H20,H20,I20)))</f>
        <v>0</v>
      </c>
      <c r="L20" s="3">
        <f t="shared" si="0"/>
        <v>0</v>
      </c>
      <c r="M20" s="26">
        <f>IF(J20&lt;'Параметры ПФ'!$N$12+0.01,E20*F20*G20,ROUNDDOWN('Параметры ПФ'!$N$12/IF(H20=0,I20,IF(I20&gt;H20,H20,I20)),0)*G20)</f>
        <v>0</v>
      </c>
      <c r="N20" s="20">
        <f t="shared" si="2"/>
        <v>0</v>
      </c>
    </row>
    <row r="21" spans="1:14" x14ac:dyDescent="0.25">
      <c r="A21" s="2" t="s">
        <v>2</v>
      </c>
      <c r="B21" s="2"/>
      <c r="C21" s="2" t="s">
        <v>4</v>
      </c>
      <c r="D21" s="16"/>
      <c r="E21" s="16"/>
      <c r="F21" s="17"/>
      <c r="G21" s="17"/>
      <c r="H21" s="18"/>
      <c r="I21" s="3">
        <f>HLOOKUP($C21,'Параметры ПФ'!$F$3:$K$8,6,FALSE)*'Параметры ПФ'!$G$19</f>
        <v>68.08</v>
      </c>
      <c r="J21" s="3">
        <f t="shared" si="1"/>
        <v>0</v>
      </c>
      <c r="K21" s="4">
        <f>IF(J21&lt;'Параметры ПФ'!$N$12+0.01,'Адаптированные программы'!J21,ROUNDDOWN('Параметры ПФ'!$N$12/IF(H21=0,I21,IF(I21&gt;H21,H21,I21)),0)*IF(H21=0,I21,IF(I21&gt;H21,H21,I21)))</f>
        <v>0</v>
      </c>
      <c r="L21" s="3">
        <f t="shared" si="0"/>
        <v>0</v>
      </c>
      <c r="M21" s="26">
        <f>IF(J21&lt;'Параметры ПФ'!$N$12+0.01,E21*F21*G21,ROUNDDOWN('Параметры ПФ'!$N$12/IF(H21=0,I21,IF(I21&gt;H21,H21,I21)),0)*G21)</f>
        <v>0</v>
      </c>
      <c r="N21" s="20">
        <f t="shared" si="2"/>
        <v>0</v>
      </c>
    </row>
    <row r="22" spans="1:14" x14ac:dyDescent="0.25">
      <c r="A22" s="2" t="s">
        <v>2</v>
      </c>
      <c r="B22" s="2"/>
      <c r="C22" s="2" t="s">
        <v>4</v>
      </c>
      <c r="D22" s="16"/>
      <c r="E22" s="16"/>
      <c r="F22" s="17"/>
      <c r="G22" s="17"/>
      <c r="H22" s="18"/>
      <c r="I22" s="3">
        <f>HLOOKUP($C22,'Параметры ПФ'!$F$3:$K$8,6,FALSE)*'Параметры ПФ'!$G$19</f>
        <v>68.08</v>
      </c>
      <c r="J22" s="3">
        <f t="shared" si="1"/>
        <v>0</v>
      </c>
      <c r="K22" s="4">
        <f>IF(J22&lt;'Параметры ПФ'!$N$12+0.01,'Адаптированные программы'!J22,ROUNDDOWN('Параметры ПФ'!$N$12/IF(H22=0,I22,IF(I22&gt;H22,H22,I22)),0)*IF(H22=0,I22,IF(I22&gt;H22,H22,I22)))</f>
        <v>0</v>
      </c>
      <c r="L22" s="3">
        <f t="shared" si="0"/>
        <v>0</v>
      </c>
      <c r="M22" s="26">
        <f>IF(J22&lt;'Параметры ПФ'!$N$12+0.01,E22*F22*G22,ROUNDDOWN('Параметры ПФ'!$N$12/IF(H22=0,I22,IF(I22&gt;H22,H22,I22)),0)*G22)</f>
        <v>0</v>
      </c>
      <c r="N22" s="20">
        <f t="shared" si="2"/>
        <v>0</v>
      </c>
    </row>
    <row r="23" spans="1:14" x14ac:dyDescent="0.25">
      <c r="A23" s="2" t="s">
        <v>2</v>
      </c>
      <c r="B23" s="2"/>
      <c r="C23" s="2" t="s">
        <v>4</v>
      </c>
      <c r="D23" s="16"/>
      <c r="E23" s="16"/>
      <c r="F23" s="17"/>
      <c r="G23" s="17"/>
      <c r="H23" s="18"/>
      <c r="I23" s="3">
        <f>HLOOKUP($C23,'Параметры ПФ'!$F$3:$K$8,6,FALSE)*'Параметры ПФ'!$G$19</f>
        <v>68.08</v>
      </c>
      <c r="J23" s="3">
        <f t="shared" si="1"/>
        <v>0</v>
      </c>
      <c r="K23" s="4">
        <f>IF(J23&lt;'Параметры ПФ'!$N$12+0.01,'Адаптированные программы'!J23,ROUNDDOWN('Параметры ПФ'!$N$12/IF(H23=0,I23,IF(I23&gt;H23,H23,I23)),0)*IF(H23=0,I23,IF(I23&gt;H23,H23,I23)))</f>
        <v>0</v>
      </c>
      <c r="L23" s="3">
        <f t="shared" si="0"/>
        <v>0</v>
      </c>
      <c r="M23" s="26">
        <f>IF(J23&lt;'Параметры ПФ'!$N$12+0.01,E23*F23*G23,ROUNDDOWN('Параметры ПФ'!$N$12/IF(H23=0,I23,IF(I23&gt;H23,H23,I23)),0)*G23)</f>
        <v>0</v>
      </c>
      <c r="N23" s="20">
        <f t="shared" si="2"/>
        <v>0</v>
      </c>
    </row>
    <row r="24" spans="1:14" x14ac:dyDescent="0.25">
      <c r="A24" s="2" t="s">
        <v>2</v>
      </c>
      <c r="B24" s="2"/>
      <c r="C24" s="2" t="s">
        <v>4</v>
      </c>
      <c r="D24" s="16"/>
      <c r="E24" s="16"/>
      <c r="F24" s="17"/>
      <c r="G24" s="17"/>
      <c r="H24" s="18"/>
      <c r="I24" s="3">
        <f>HLOOKUP($C24,'Параметры ПФ'!$F$3:$K$8,6,FALSE)*'Параметры ПФ'!$G$19</f>
        <v>68.08</v>
      </c>
      <c r="J24" s="3">
        <f t="shared" si="1"/>
        <v>0</v>
      </c>
      <c r="K24" s="4">
        <f>IF(J24&lt;'Параметры ПФ'!$N$12+0.01,'Адаптированные программы'!J24,ROUNDDOWN('Параметры ПФ'!$N$12/IF(H24=0,I24,IF(I24&gt;H24,H24,I24)),0)*IF(H24=0,I24,IF(I24&gt;H24,H24,I24)))</f>
        <v>0</v>
      </c>
      <c r="L24" s="3">
        <f t="shared" si="0"/>
        <v>0</v>
      </c>
      <c r="M24" s="26">
        <f>IF(J24&lt;'Параметры ПФ'!$N$12+0.01,E24*F24*G24,ROUNDDOWN('Параметры ПФ'!$N$12/IF(H24=0,I24,IF(I24&gt;H24,H24,I24)),0)*G24)</f>
        <v>0</v>
      </c>
      <c r="N24" s="20">
        <f t="shared" si="2"/>
        <v>0</v>
      </c>
    </row>
    <row r="25" spans="1:14" x14ac:dyDescent="0.25">
      <c r="A25" s="2" t="s">
        <v>2</v>
      </c>
      <c r="B25" s="2"/>
      <c r="C25" s="2" t="s">
        <v>4</v>
      </c>
      <c r="D25" s="16"/>
      <c r="E25" s="16"/>
      <c r="F25" s="17"/>
      <c r="G25" s="17"/>
      <c r="H25" s="18"/>
      <c r="I25" s="3">
        <f>HLOOKUP($C25,'Параметры ПФ'!$F$3:$K$8,6,FALSE)*'Параметры ПФ'!$G$19</f>
        <v>68.08</v>
      </c>
      <c r="J25" s="3">
        <f t="shared" si="1"/>
        <v>0</v>
      </c>
      <c r="K25" s="4">
        <f>IF(J25&lt;'Параметры ПФ'!$N$12+0.01,'Адаптированные программы'!J25,ROUNDDOWN('Параметры ПФ'!$N$12/IF(H25=0,I25,IF(I25&gt;H25,H25,I25)),0)*IF(H25=0,I25,IF(I25&gt;H25,H25,I25)))</f>
        <v>0</v>
      </c>
      <c r="L25" s="3">
        <f t="shared" si="0"/>
        <v>0</v>
      </c>
      <c r="M25" s="26">
        <f>IF(J25&lt;'Параметры ПФ'!$N$12+0.01,E25*F25*G25,ROUNDDOWN('Параметры ПФ'!$N$12/IF(H25=0,I25,IF(I25&gt;H25,H25,I25)),0)*G25)</f>
        <v>0</v>
      </c>
      <c r="N25" s="20">
        <f t="shared" si="2"/>
        <v>0</v>
      </c>
    </row>
    <row r="26" spans="1:14" x14ac:dyDescent="0.25">
      <c r="A26" s="2" t="s">
        <v>2</v>
      </c>
      <c r="B26" s="2"/>
      <c r="C26" s="2" t="s">
        <v>4</v>
      </c>
      <c r="D26" s="16"/>
      <c r="E26" s="16"/>
      <c r="F26" s="17"/>
      <c r="G26" s="17"/>
      <c r="H26" s="18"/>
      <c r="I26" s="3">
        <f>HLOOKUP($C26,'Параметры ПФ'!$F$3:$K$8,6,FALSE)*'Параметры ПФ'!$G$19</f>
        <v>68.08</v>
      </c>
      <c r="J26" s="3">
        <f t="shared" si="1"/>
        <v>0</v>
      </c>
      <c r="K26" s="4">
        <f>IF(J26&lt;'Параметры ПФ'!$N$12+0.01,'Адаптированные программы'!J26,ROUNDDOWN('Параметры ПФ'!$N$12/IF(H26=0,I26,IF(I26&gt;H26,H26,I26)),0)*IF(H26=0,I26,IF(I26&gt;H26,H26,I26)))</f>
        <v>0</v>
      </c>
      <c r="L26" s="3">
        <f t="shared" si="0"/>
        <v>0</v>
      </c>
      <c r="M26" s="26">
        <f>IF(J26&lt;'Параметры ПФ'!$N$12+0.01,E26*F26*G26,ROUNDDOWN('Параметры ПФ'!$N$12/IF(H26=0,I26,IF(I26&gt;H26,H26,I26)),0)*G26)</f>
        <v>0</v>
      </c>
      <c r="N26" s="20">
        <f t="shared" si="2"/>
        <v>0</v>
      </c>
    </row>
    <row r="27" spans="1:14" x14ac:dyDescent="0.25">
      <c r="A27" s="2" t="s">
        <v>2</v>
      </c>
      <c r="B27" s="2"/>
      <c r="C27" s="2" t="s">
        <v>4</v>
      </c>
      <c r="D27" s="16"/>
      <c r="E27" s="16"/>
      <c r="F27" s="17"/>
      <c r="G27" s="17"/>
      <c r="H27" s="18"/>
      <c r="I27" s="3">
        <f>HLOOKUP($C27,'Параметры ПФ'!$F$3:$K$8,6,FALSE)*'Параметры ПФ'!$G$19</f>
        <v>68.08</v>
      </c>
      <c r="J27" s="3">
        <f t="shared" si="1"/>
        <v>0</v>
      </c>
      <c r="K27" s="4">
        <f>IF(J27&lt;'Параметры ПФ'!$N$12+0.01,'Адаптированные программы'!J27,ROUNDDOWN('Параметры ПФ'!$N$12/IF(H27=0,I27,IF(I27&gt;H27,H27,I27)),0)*IF(H27=0,I27,IF(I27&gt;H27,H27,I27)))</f>
        <v>0</v>
      </c>
      <c r="L27" s="3">
        <f t="shared" si="0"/>
        <v>0</v>
      </c>
      <c r="M27" s="26">
        <f>IF(J27&lt;'Параметры ПФ'!$N$12+0.01,E27*F27*G27,ROUNDDOWN('Параметры ПФ'!$N$12/IF(H27=0,I27,IF(I27&gt;H27,H27,I27)),0)*G27)</f>
        <v>0</v>
      </c>
      <c r="N27" s="20">
        <f t="shared" si="2"/>
        <v>0</v>
      </c>
    </row>
    <row r="28" spans="1:14" x14ac:dyDescent="0.25">
      <c r="A28" s="2" t="s">
        <v>2</v>
      </c>
      <c r="B28" s="2"/>
      <c r="C28" s="2" t="s">
        <v>4</v>
      </c>
      <c r="D28" s="16"/>
      <c r="E28" s="16"/>
      <c r="F28" s="17"/>
      <c r="G28" s="17"/>
      <c r="H28" s="18"/>
      <c r="I28" s="3">
        <f>HLOOKUP($C28,'Параметры ПФ'!$F$3:$K$8,6,FALSE)*'Параметры ПФ'!$G$19</f>
        <v>68.08</v>
      </c>
      <c r="J28" s="3">
        <f t="shared" si="1"/>
        <v>0</v>
      </c>
      <c r="K28" s="4">
        <f>IF(J28&lt;'Параметры ПФ'!$N$12+0.01,'Адаптированные программы'!J28,ROUNDDOWN('Параметры ПФ'!$N$12/IF(H28=0,I28,IF(I28&gt;H28,H28,I28)),0)*IF(H28=0,I28,IF(I28&gt;H28,H28,I28)))</f>
        <v>0</v>
      </c>
      <c r="L28" s="3">
        <f t="shared" si="0"/>
        <v>0</v>
      </c>
      <c r="M28" s="26">
        <f>IF(J28&lt;'Параметры ПФ'!$N$12+0.01,E28*F28*G28,ROUNDDOWN('Параметры ПФ'!$N$12/IF(H28=0,I28,IF(I28&gt;H28,H28,I28)),0)*G28)</f>
        <v>0</v>
      </c>
      <c r="N28" s="20">
        <f t="shared" si="2"/>
        <v>0</v>
      </c>
    </row>
    <row r="29" spans="1:14" x14ac:dyDescent="0.25">
      <c r="A29" s="2" t="s">
        <v>2</v>
      </c>
      <c r="B29" s="2"/>
      <c r="C29" s="2" t="s">
        <v>4</v>
      </c>
      <c r="D29" s="16"/>
      <c r="E29" s="16"/>
      <c r="F29" s="17"/>
      <c r="G29" s="17"/>
      <c r="H29" s="18"/>
      <c r="I29" s="3">
        <f>HLOOKUP($C29,'Параметры ПФ'!$F$3:$K$8,6,FALSE)*'Параметры ПФ'!$G$19</f>
        <v>68.08</v>
      </c>
      <c r="J29" s="3">
        <f t="shared" si="1"/>
        <v>0</v>
      </c>
      <c r="K29" s="4">
        <f>IF(J29&lt;'Параметры ПФ'!$N$12+0.01,'Адаптированные программы'!J29,ROUNDDOWN('Параметры ПФ'!$N$12/IF(H29=0,I29,IF(I29&gt;H29,H29,I29)),0)*IF(H29=0,I29,IF(I29&gt;H29,H29,I29)))</f>
        <v>0</v>
      </c>
      <c r="L29" s="3">
        <f t="shared" si="0"/>
        <v>0</v>
      </c>
      <c r="M29" s="26">
        <f>IF(J29&lt;'Параметры ПФ'!$N$12+0.01,E29*F29*G29,ROUNDDOWN('Параметры ПФ'!$N$12/IF(H29=0,I29,IF(I29&gt;H29,H29,I29)),0)*G29)</f>
        <v>0</v>
      </c>
      <c r="N29" s="20">
        <f t="shared" si="2"/>
        <v>0</v>
      </c>
    </row>
    <row r="30" spans="1:14" x14ac:dyDescent="0.25">
      <c r="A30" s="2" t="s">
        <v>2</v>
      </c>
      <c r="B30" s="2"/>
      <c r="C30" s="2" t="s">
        <v>4</v>
      </c>
      <c r="D30" s="16"/>
      <c r="E30" s="16"/>
      <c r="F30" s="17"/>
      <c r="G30" s="17"/>
      <c r="H30" s="18"/>
      <c r="I30" s="3">
        <f>HLOOKUP($C30,'Параметры ПФ'!$F$3:$K$8,6,FALSE)*'Параметры ПФ'!$G$19</f>
        <v>68.08</v>
      </c>
      <c r="J30" s="3">
        <f t="shared" si="1"/>
        <v>0</v>
      </c>
      <c r="K30" s="4">
        <f>IF(J30&lt;'Параметры ПФ'!$N$12+0.01,'Адаптированные программы'!J30,ROUNDDOWN('Параметры ПФ'!$N$12/IF(H30=0,I30,IF(I30&gt;H30,H30,I30)),0)*IF(H30=0,I30,IF(I30&gt;H30,H30,I30)))</f>
        <v>0</v>
      </c>
      <c r="L30" s="3">
        <f t="shared" si="0"/>
        <v>0</v>
      </c>
      <c r="M30" s="26">
        <f>IF(J30&lt;'Параметры ПФ'!$N$12+0.01,E30*F30*G30,ROUNDDOWN('Параметры ПФ'!$N$12/IF(H30=0,I30,IF(I30&gt;H30,H30,I30)),0)*G30)</f>
        <v>0</v>
      </c>
      <c r="N30" s="20">
        <f t="shared" si="2"/>
        <v>0</v>
      </c>
    </row>
    <row r="31" spans="1:14" x14ac:dyDescent="0.25">
      <c r="A31" s="2" t="s">
        <v>2</v>
      </c>
      <c r="B31" s="2"/>
      <c r="C31" s="2" t="s">
        <v>4</v>
      </c>
      <c r="D31" s="16"/>
      <c r="E31" s="16"/>
      <c r="F31" s="17"/>
      <c r="G31" s="17"/>
      <c r="H31" s="18"/>
      <c r="I31" s="3">
        <f>HLOOKUP($C31,'Параметры ПФ'!$F$3:$K$8,6,FALSE)*'Параметры ПФ'!$G$19</f>
        <v>68.08</v>
      </c>
      <c r="J31" s="3">
        <f t="shared" si="1"/>
        <v>0</v>
      </c>
      <c r="K31" s="4">
        <f>IF(J31&lt;'Параметры ПФ'!$N$12+0.01,'Адаптированные программы'!J31,ROUNDDOWN('Параметры ПФ'!$N$12/IF(H31=0,I31,IF(I31&gt;H31,H31,I31)),0)*IF(H31=0,I31,IF(I31&gt;H31,H31,I31)))</f>
        <v>0</v>
      </c>
      <c r="L31" s="3">
        <f t="shared" si="0"/>
        <v>0</v>
      </c>
      <c r="M31" s="26">
        <f>IF(J31&lt;'Параметры ПФ'!$N$12+0.01,E31*F31*G31,ROUNDDOWN('Параметры ПФ'!$N$12/IF(H31=0,I31,IF(I31&gt;H31,H31,I31)),0)*G31)</f>
        <v>0</v>
      </c>
      <c r="N31" s="20">
        <f t="shared" si="2"/>
        <v>0</v>
      </c>
    </row>
    <row r="32" spans="1:14" x14ac:dyDescent="0.25">
      <c r="A32" s="2" t="s">
        <v>2</v>
      </c>
      <c r="B32" s="2"/>
      <c r="C32" s="2" t="s">
        <v>4</v>
      </c>
      <c r="D32" s="16"/>
      <c r="E32" s="16"/>
      <c r="F32" s="17"/>
      <c r="G32" s="17"/>
      <c r="H32" s="18"/>
      <c r="I32" s="3">
        <f>HLOOKUP($C32,'Параметры ПФ'!$F$3:$K$8,6,FALSE)*'Параметры ПФ'!$G$19</f>
        <v>68.08</v>
      </c>
      <c r="J32" s="3">
        <f t="shared" si="1"/>
        <v>0</v>
      </c>
      <c r="K32" s="4">
        <f>IF(J32&lt;'Параметры ПФ'!$N$12+0.01,'Адаптированные программы'!J32,ROUNDDOWN('Параметры ПФ'!$N$12/IF(H32=0,I32,IF(I32&gt;H32,H32,I32)),0)*IF(H32=0,I32,IF(I32&gt;H32,H32,I32)))</f>
        <v>0</v>
      </c>
      <c r="L32" s="3">
        <f t="shared" si="0"/>
        <v>0</v>
      </c>
      <c r="M32" s="26">
        <f>IF(J32&lt;'Параметры ПФ'!$N$12+0.01,E32*F32*G32,ROUNDDOWN('Параметры ПФ'!$N$12/IF(H32=0,I32,IF(I32&gt;H32,H32,I32)),0)*G32)</f>
        <v>0</v>
      </c>
      <c r="N32" s="20">
        <f t="shared" si="2"/>
        <v>0</v>
      </c>
    </row>
    <row r="33" spans="1:14" x14ac:dyDescent="0.25">
      <c r="A33" s="2" t="s">
        <v>2</v>
      </c>
      <c r="B33" s="2"/>
      <c r="C33" s="2" t="s">
        <v>4</v>
      </c>
      <c r="D33" s="16"/>
      <c r="E33" s="16"/>
      <c r="F33" s="17"/>
      <c r="G33" s="17"/>
      <c r="H33" s="18"/>
      <c r="I33" s="3">
        <f>HLOOKUP($C33,'Параметры ПФ'!$F$3:$K$8,6,FALSE)*'Параметры ПФ'!$G$19</f>
        <v>68.08</v>
      </c>
      <c r="J33" s="3">
        <f t="shared" si="1"/>
        <v>0</v>
      </c>
      <c r="K33" s="4">
        <f>IF(J33&lt;'Параметры ПФ'!$N$12+0.01,'Адаптированные программы'!J33,ROUNDDOWN('Параметры ПФ'!$N$12/IF(H33=0,I33,IF(I33&gt;H33,H33,I33)),0)*IF(H33=0,I33,IF(I33&gt;H33,H33,I33)))</f>
        <v>0</v>
      </c>
      <c r="L33" s="3">
        <f t="shared" si="0"/>
        <v>0</v>
      </c>
      <c r="M33" s="26">
        <f>IF(J33&lt;'Параметры ПФ'!$N$12+0.01,E33*F33*G33,ROUNDDOWN('Параметры ПФ'!$N$12/IF(H33=0,I33,IF(I33&gt;H33,H33,I33)),0)*G33)</f>
        <v>0</v>
      </c>
      <c r="N33" s="20">
        <f t="shared" si="2"/>
        <v>0</v>
      </c>
    </row>
    <row r="34" spans="1:14" x14ac:dyDescent="0.25">
      <c r="A34" s="2" t="s">
        <v>2</v>
      </c>
      <c r="B34" s="2"/>
      <c r="C34" s="2" t="s">
        <v>4</v>
      </c>
      <c r="D34" s="16"/>
      <c r="E34" s="16"/>
      <c r="F34" s="17"/>
      <c r="G34" s="17"/>
      <c r="H34" s="18"/>
      <c r="I34" s="3">
        <f>HLOOKUP($C34,'Параметры ПФ'!$F$3:$K$8,6,FALSE)*'Параметры ПФ'!$G$19</f>
        <v>68.08</v>
      </c>
      <c r="J34" s="3">
        <f t="shared" si="1"/>
        <v>0</v>
      </c>
      <c r="K34" s="4">
        <f>IF(J34&lt;'Параметры ПФ'!$N$12+0.01,'Адаптированные программы'!J34,ROUNDDOWN('Параметры ПФ'!$N$12/IF(H34=0,I34,IF(I34&gt;H34,H34,I34)),0)*IF(H34=0,I34,IF(I34&gt;H34,H34,I34)))</f>
        <v>0</v>
      </c>
      <c r="L34" s="3">
        <f t="shared" si="0"/>
        <v>0</v>
      </c>
      <c r="M34" s="26">
        <f>IF(J34&lt;'Параметры ПФ'!$N$12+0.01,E34*F34*G34,ROUNDDOWN('Параметры ПФ'!$N$12/IF(H34=0,I34,IF(I34&gt;H34,H34,I34)),0)*G34)</f>
        <v>0</v>
      </c>
      <c r="N34" s="20">
        <f t="shared" si="2"/>
        <v>0</v>
      </c>
    </row>
    <row r="35" spans="1:14" x14ac:dyDescent="0.25">
      <c r="A35" s="2" t="s">
        <v>2</v>
      </c>
      <c r="B35" s="2"/>
      <c r="C35" s="2" t="s">
        <v>4</v>
      </c>
      <c r="D35" s="16"/>
      <c r="E35" s="16"/>
      <c r="F35" s="17"/>
      <c r="G35" s="17"/>
      <c r="H35" s="18"/>
      <c r="I35" s="3">
        <f>HLOOKUP($C35,'Параметры ПФ'!$F$3:$K$8,6,FALSE)*'Параметры ПФ'!$G$19</f>
        <v>68.08</v>
      </c>
      <c r="J35" s="3">
        <f t="shared" si="1"/>
        <v>0</v>
      </c>
      <c r="K35" s="4">
        <f>IF(J35&lt;'Параметры ПФ'!$N$12+0.01,'Адаптированные программы'!J35,ROUNDDOWN('Параметры ПФ'!$N$12/IF(H35=0,I35,IF(I35&gt;H35,H35,I35)),0)*IF(H35=0,I35,IF(I35&gt;H35,H35,I35)))</f>
        <v>0</v>
      </c>
      <c r="L35" s="3">
        <f t="shared" si="0"/>
        <v>0</v>
      </c>
      <c r="M35" s="26">
        <f>IF(J35&lt;'Параметры ПФ'!$N$12+0.01,E35*F35*G35,ROUNDDOWN('Параметры ПФ'!$N$12/IF(H35=0,I35,IF(I35&gt;H35,H35,I35)),0)*G35)</f>
        <v>0</v>
      </c>
      <c r="N35" s="20">
        <f t="shared" si="2"/>
        <v>0</v>
      </c>
    </row>
    <row r="36" spans="1:14" x14ac:dyDescent="0.25">
      <c r="A36" s="2" t="s">
        <v>2</v>
      </c>
      <c r="B36" s="2"/>
      <c r="C36" s="2" t="s">
        <v>4</v>
      </c>
      <c r="D36" s="16"/>
      <c r="E36" s="16"/>
      <c r="F36" s="17"/>
      <c r="G36" s="17"/>
      <c r="H36" s="18"/>
      <c r="I36" s="3">
        <f>HLOOKUP($C36,'Параметры ПФ'!$F$3:$K$8,6,FALSE)*'Параметры ПФ'!$G$19</f>
        <v>68.08</v>
      </c>
      <c r="J36" s="3">
        <f t="shared" si="1"/>
        <v>0</v>
      </c>
      <c r="K36" s="4">
        <f>IF(J36&lt;'Параметры ПФ'!$N$12+0.01,'Адаптированные программы'!J36,ROUNDDOWN('Параметры ПФ'!$N$12/IF(H36=0,I36,IF(I36&gt;H36,H36,I36)),0)*IF(H36=0,I36,IF(I36&gt;H36,H36,I36)))</f>
        <v>0</v>
      </c>
      <c r="L36" s="3">
        <f t="shared" si="0"/>
        <v>0</v>
      </c>
      <c r="M36" s="26">
        <f>IF(J36&lt;'Параметры ПФ'!$N$12+0.01,E36*F36*G36,ROUNDDOWN('Параметры ПФ'!$N$12/IF(H36=0,I36,IF(I36&gt;H36,H36,I36)),0)*G36)</f>
        <v>0</v>
      </c>
      <c r="N36" s="20">
        <f t="shared" si="2"/>
        <v>0</v>
      </c>
    </row>
    <row r="37" spans="1:14" x14ac:dyDescent="0.25">
      <c r="A37" s="2" t="s">
        <v>2</v>
      </c>
      <c r="B37" s="2"/>
      <c r="C37" s="2" t="s">
        <v>4</v>
      </c>
      <c r="D37" s="16"/>
      <c r="E37" s="16"/>
      <c r="F37" s="17"/>
      <c r="G37" s="17"/>
      <c r="H37" s="18"/>
      <c r="I37" s="3">
        <f>HLOOKUP($C37,'Параметры ПФ'!$F$3:$K$8,6,FALSE)*'Параметры ПФ'!$G$19</f>
        <v>68.08</v>
      </c>
      <c r="J37" s="3">
        <f t="shared" si="1"/>
        <v>0</v>
      </c>
      <c r="K37" s="4">
        <f>IF(J37&lt;'Параметры ПФ'!$N$12+0.01,'Адаптированные программы'!J37,ROUNDDOWN('Параметры ПФ'!$N$12/IF(H37=0,I37,IF(I37&gt;H37,H37,I37)),0)*IF(H37=0,I37,IF(I37&gt;H37,H37,I37)))</f>
        <v>0</v>
      </c>
      <c r="L37" s="3">
        <f t="shared" si="0"/>
        <v>0</v>
      </c>
      <c r="M37" s="26">
        <f>IF(J37&lt;'Параметры ПФ'!$N$12+0.01,E37*F37*G37,ROUNDDOWN('Параметры ПФ'!$N$12/IF(H37=0,I37,IF(I37&gt;H37,H37,I37)),0)*G37)</f>
        <v>0</v>
      </c>
      <c r="N37" s="20">
        <f t="shared" si="2"/>
        <v>0</v>
      </c>
    </row>
    <row r="38" spans="1:14" x14ac:dyDescent="0.25">
      <c r="A38" s="2" t="s">
        <v>2</v>
      </c>
      <c r="B38" s="2"/>
      <c r="C38" s="2" t="s">
        <v>4</v>
      </c>
      <c r="D38" s="16"/>
      <c r="E38" s="16"/>
      <c r="F38" s="17"/>
      <c r="G38" s="17"/>
      <c r="H38" s="18"/>
      <c r="I38" s="3">
        <f>HLOOKUP($C38,'Параметры ПФ'!$F$3:$K$8,6,FALSE)*'Параметры ПФ'!$G$19</f>
        <v>68.08</v>
      </c>
      <c r="J38" s="3">
        <f t="shared" si="1"/>
        <v>0</v>
      </c>
      <c r="K38" s="4">
        <f>IF(J38&lt;'Параметры ПФ'!$N$12+0.01,'Адаптированные программы'!J38,ROUNDDOWN('Параметры ПФ'!$N$12/IF(H38=0,I38,IF(I38&gt;H38,H38,I38)),0)*IF(H38=0,I38,IF(I38&gt;H38,H38,I38)))</f>
        <v>0</v>
      </c>
      <c r="L38" s="3">
        <f t="shared" si="0"/>
        <v>0</v>
      </c>
      <c r="M38" s="26">
        <f>IF(J38&lt;'Параметры ПФ'!$N$12+0.01,E38*F38*G38,ROUNDDOWN('Параметры ПФ'!$N$12/IF(H38=0,I38,IF(I38&gt;H38,H38,I38)),0)*G38)</f>
        <v>0</v>
      </c>
      <c r="N38" s="20">
        <f t="shared" si="2"/>
        <v>0</v>
      </c>
    </row>
    <row r="39" spans="1:14" x14ac:dyDescent="0.25">
      <c r="A39" s="90"/>
      <c r="B39" s="90"/>
      <c r="C39" s="90"/>
      <c r="D39" s="90"/>
      <c r="E39" s="90"/>
      <c r="F39" s="90"/>
      <c r="G39" s="5">
        <f>SUM(G2:G38)</f>
        <v>0</v>
      </c>
      <c r="H39" s="6" t="s">
        <v>12</v>
      </c>
      <c r="I39" s="7" t="s">
        <v>12</v>
      </c>
      <c r="J39" s="6" t="s">
        <v>12</v>
      </c>
      <c r="K39" s="7" t="s">
        <v>12</v>
      </c>
      <c r="L39" s="24">
        <f>SUM(L2:L38)</f>
        <v>0</v>
      </c>
      <c r="M39" s="25">
        <f>SUM(M2:M38)</f>
        <v>0</v>
      </c>
      <c r="N39" s="21" t="s">
        <v>12</v>
      </c>
    </row>
  </sheetData>
  <autoFilter ref="A1:N39"/>
  <mergeCells count="1">
    <mergeCell ref="A39:F39"/>
  </mergeCells>
  <conditionalFormatting sqref="N2:N38">
    <cfRule type="cellIs" dxfId="0" priority="1" operator="greaterThan">
      <formula>#REF!</formula>
    </cfRule>
  </conditionalFormatting>
  <pageMargins left="0.70866141732283472" right="0.70866141732283472" top="0.74803149606299213" bottom="0.74803149606299213" header="0.31496062992125984" footer="0.31496062992125984"/>
  <pageSetup paperSize="9" scale="52" fitToHeight="0" orientation="landscape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allowBlank="1" showInputMessage="1" showErrorMessage="1" errorTitle="Ошибка" error="Направленность не из списка!" promptTitle="Направленность" prompt="Выберите направленность из списка">
          <x14:formula1>
            <xm:f>'F:\Users\alexkostin\Library\Containers\com.microsoft.Excel\Data\Documents\F:\Навигаторы\РЕГИОНЫ\Москва\[19. Сходимость модели ПФ ДОД МО.xlsx]Справочники'!#REF!</xm:f>
          </x14:formula1>
          <xm:sqref>C40:E1048576</xm:sqref>
        </x14:dataValidation>
        <x14:dataValidation type="list" allowBlank="1" showInputMessage="1" showErrorMessage="1">
          <x14:formula1>
            <xm:f>'Параметры ПФ'!$F$3:$K$3</xm:f>
          </x14:formula1>
          <xm:sqref>C2:C38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Параметры ПФ</vt:lpstr>
      <vt:lpstr>Стандартные программы</vt:lpstr>
      <vt:lpstr>Дистанционные программы</vt:lpstr>
      <vt:lpstr>Очно-заочные программы</vt:lpstr>
      <vt:lpstr>Адаптированные программы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2019-03-03T02:50:35Z</dcterms:created>
  <dcterms:modified xsi:type="dcterms:W3CDTF">2023-01-12T06:59:11Z</dcterms:modified>
</cp:coreProperties>
</file>